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ba\Desktop\UCB\Classwork\Module 1. Crowdfunding Analysis\"/>
    </mc:Choice>
  </mc:AlternateContent>
  <xr:revisionPtr revIDLastSave="0" documentId="13_ncr:1_{C48F4D63-89AA-415F-B54C-A3FEFC66FEB8}" xr6:coauthVersionLast="45" xr6:coauthVersionMax="45" xr10:uidLastSave="{00000000-0000-0000-0000-000000000000}"/>
  <bookViews>
    <workbookView xWindow="-15225" yWindow="1710" windowWidth="21600" windowHeight="11265" firstSheet="1" activeTab="1" xr2:uid="{00000000-000D-0000-FFFF-FFFF00000000}"/>
  </bookViews>
  <sheets>
    <sheet name="Outcomes Based On Launch Date" sheetId="10" r:id="rId1"/>
    <sheet name="Outcomes Based On Goals" sheetId="11" r:id="rId2"/>
    <sheet name="Kickstarter Data" sheetId="1" r:id="rId3"/>
  </sheets>
  <definedNames>
    <definedName name="_xlnm._FilterDatabase" localSheetId="2" hidden="1">'Kickstarter Data'!$A$1:$U$4115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D2" i="11"/>
  <c r="C2" i="11"/>
  <c r="B2" i="11"/>
  <c r="E13" i="11" l="1"/>
  <c r="E11" i="11"/>
  <c r="E9" i="11"/>
  <c r="E7" i="11"/>
  <c r="E5" i="11"/>
  <c r="E3" i="11"/>
  <c r="G3" i="11" l="1"/>
  <c r="G7" i="11"/>
  <c r="G11" i="11"/>
  <c r="H3" i="11"/>
  <c r="H7" i="11"/>
  <c r="H11" i="11"/>
  <c r="G5" i="11"/>
  <c r="G9" i="11"/>
  <c r="G13" i="11"/>
  <c r="H5" i="11"/>
  <c r="H9" i="11"/>
  <c r="H13" i="11"/>
  <c r="E2" i="11"/>
  <c r="E10" i="11"/>
  <c r="H10" i="11" s="1"/>
  <c r="E6" i="11"/>
  <c r="G6" i="11" s="1"/>
  <c r="F3" i="11"/>
  <c r="F13" i="11"/>
  <c r="F9" i="11"/>
  <c r="F5" i="11"/>
  <c r="I5" i="11" s="1"/>
  <c r="E12" i="11"/>
  <c r="G12" i="11" s="1"/>
  <c r="E8" i="11"/>
  <c r="E4" i="11"/>
  <c r="H4" i="11" s="1"/>
  <c r="F11" i="11"/>
  <c r="I11" i="11" s="1"/>
  <c r="F7" i="11"/>
  <c r="I7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I3" i="11" l="1"/>
  <c r="I13" i="11"/>
  <c r="I9" i="11"/>
  <c r="G8" i="11"/>
  <c r="H8" i="11"/>
  <c r="F8" i="11"/>
  <c r="F2" i="11"/>
  <c r="E14" i="11"/>
  <c r="H12" i="11"/>
  <c r="F4" i="11"/>
  <c r="H6" i="11"/>
  <c r="G2" i="11"/>
  <c r="G4" i="11"/>
  <c r="H2" i="11"/>
  <c r="F10" i="11"/>
  <c r="I10" i="11" s="1"/>
  <c r="F12" i="11"/>
  <c r="G10" i="11"/>
  <c r="F6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I4" i="11" l="1"/>
  <c r="I6" i="11"/>
  <c r="I8" i="11"/>
  <c r="I12" i="11"/>
  <c r="I2" i="1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<sst xmlns="http://schemas.openxmlformats.org/spreadsheetml/2006/main" count="32996" uniqueCount="8411">
  <si>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</si>
  <si>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</si>
  <si>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</si>
  <si>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</si>
  <si>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</si>
  <si>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</si>
  <si>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</si>
  <si>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</si>
  <si>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</si>
  <si>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</si>
  <si>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</si>
  <si>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</si>
  <si>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</si>
  <si>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</si>
  <si>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</si>
  <si>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</si>
  <si>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</si>
  <si>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</si>
  <si>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</si>
  <si>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</si>
  <si>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</si>
  <si>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</si>
  <si>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</si>
  <si>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</si>
  <si>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</si>
  <si>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</si>
  <si>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</si>
  <si>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</si>
  <si>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</si>
  <si>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</si>
  <si>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</si>
  <si>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</si>
  <si>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</si>
  <si>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</si>
  <si>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</si>
  <si>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</si>
  <si>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</si>
  <si>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</si>
  <si>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</si>
  <si>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</si>
  <si>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</si>
  <si>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</si>
  <si>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</si>
  <si>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</si>
  <si>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</si>
  <si>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</si>
  <si>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</si>
  <si>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</si>
  <si>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</si>
  <si>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</si>
  <si>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</si>
  <si>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</si>
  <si>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</si>
  <si>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</si>
  <si>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</si>
  <si>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</si>
  <si>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</si>
  <si>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</si>
  <si>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</si>
  <si>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</si>
  <si>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</si>
  <si>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</si>
  <si>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</si>
  <si>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</si>
  <si>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</si>
  <si>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</si>
  <si>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</si>
  <si>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</si>
  <si>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</si>
  <si>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</si>
  <si>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</si>
  <si>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</si>
  <si>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</si>
  <si>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</si>
  <si>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</si>
  <si>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</si>
  <si>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</si>
  <si>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</si>
  <si>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</si>
  <si>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</si>
  <si>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</si>
  <si>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</si>
  <si>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</si>
  <si>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</si>
  <si>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</si>
  <si>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</si>
  <si>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</si>
  <si>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</si>
  <si>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</si>
  <si>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</si>
  <si>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</si>
  <si>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</si>
  <si>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</si>
  <si>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</si>
  <si>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</si>
  <si>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</si>
  <si>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</si>
  <si>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</si>
  <si>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</si>
  <si>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</si>
  <si>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</si>
  <si>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</si>
  <si>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</si>
  <si>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</si>
  <si>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</si>
  <si>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</si>
  <si>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</si>
  <si>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</si>
  <si>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</si>
  <si>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</si>
  <si>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</si>
  <si>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</si>
  <si>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</si>
  <si>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</si>
  <si>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</si>
  <si>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</si>
  <si>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</si>
  <si>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</si>
  <si>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</si>
  <si>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</si>
  <si>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</si>
  <si>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</si>
  <si>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</si>
  <si>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</si>
  <si>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</si>
  <si>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</si>
  <si>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</si>
  <si>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</si>
  <si>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</si>
  <si>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</si>
  <si>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</si>
  <si>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</si>
  <si>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</si>
  <si>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</si>
  <si>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</si>
  <si>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</si>
  <si>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</si>
  <si>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</si>
  <si>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</si>
  <si>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</si>
  <si>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</si>
  <si>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</si>
  <si>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</si>
  <si>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</si>
  <si>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</si>
  <si>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</si>
  <si>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</si>
  <si>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</si>
  <si>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</si>
  <si>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</si>
  <si>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</si>
  <si>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</si>
  <si>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</si>
  <si>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</si>
  <si>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</si>
  <si>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</si>
  <si>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</si>
  <si>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</si>
  <si>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</si>
  <si>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</si>
  <si>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</si>
  <si>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</si>
  <si>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</si>
  <si>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</si>
  <si>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</si>
  <si>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</si>
  <si>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</si>
  <si>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</si>
  <si>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</si>
  <si>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</si>
  <si>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</si>
  <si>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</si>
  <si>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</si>
  <si>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</si>
  <si>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</si>
  <si>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</si>
  <si>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</si>
  <si>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</si>
  <si>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</si>
  <si>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</si>
  <si>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</si>
  <si>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</si>
  <si>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</si>
  <si>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</si>
  <si>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</si>
  <si>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</si>
  <si>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</si>
  <si>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</si>
  <si>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</si>
  <si>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</si>
  <si>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</si>
  <si>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</si>
  <si>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</si>
  <si>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</si>
  <si>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</si>
  <si>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</si>
  <si>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</si>
  <si>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</si>
  <si>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</si>
  <si>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</si>
  <si>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</si>
  <si>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</si>
  <si>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</si>
  <si>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</si>
  <si>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</si>
  <si>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</si>
  <si>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</si>
  <si>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</si>
  <si>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</si>
  <si>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</si>
  <si>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</si>
  <si>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</si>
  <si>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</si>
  <si>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</si>
  <si>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</si>
  <si>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</si>
  <si>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</si>
  <si>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</si>
  <si>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</si>
  <si>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</si>
  <si>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</si>
  <si>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</si>
  <si>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</si>
  <si>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</si>
  <si>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</si>
  <si>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</si>
  <si>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</si>
  <si>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</si>
  <si>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</si>
  <si>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</si>
  <si>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</si>
  <si>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</si>
  <si>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</si>
  <si>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</si>
  <si>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</si>
  <si>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</si>
  <si>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</si>
  <si>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</si>
  <si>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</si>
  <si>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</si>
  <si>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</si>
  <si>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</si>
  <si>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</si>
  <si>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</si>
  <si>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</si>
  <si>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</si>
  <si>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</si>
  <si>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</si>
  <si>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</si>
  <si>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</si>
  <si>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</si>
  <si>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</si>
  <si>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</si>
  <si>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</si>
  <si>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</si>
  <si>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</si>
  <si>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</si>
  <si>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</si>
  <si>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</si>
  <si>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</si>
  <si>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</si>
  <si>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</si>
  <si>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</si>
  <si>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</si>
  <si>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</si>
  <si>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</si>
  <si>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</si>
  <si>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</si>
  <si>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</si>
  <si>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</si>
  <si>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</si>
  <si>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</si>
  <si>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</si>
  <si>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</si>
  <si>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</si>
  <si>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</si>
  <si>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</si>
  <si>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</si>
  <si>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</si>
  <si>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</si>
  <si>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</si>
  <si>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</si>
  <si>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</si>
  <si>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</si>
  <si>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</si>
  <si>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</si>
  <si>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</si>
  <si>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</si>
  <si>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</si>
  <si>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</si>
  <si>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</si>
  <si>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</si>
  <si>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</si>
  <si>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</si>
  <si>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</si>
  <si>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</si>
  <si>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</si>
  <si>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</si>
  <si>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</si>
  <si>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</si>
  <si>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</si>
  <si>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</si>
  <si>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</si>
  <si>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</si>
  <si>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</si>
  <si>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</si>
  <si>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</si>
  <si>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</si>
  <si>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</si>
  <si>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</si>
  <si>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</si>
  <si>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</si>
  <si>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</si>
  <si>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</si>
  <si>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</si>
  <si>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</si>
  <si>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</si>
  <si>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</si>
  <si>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</si>
  <si>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</si>
  <si>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</si>
  <si>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</si>
  <si>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</si>
  <si>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</si>
  <si>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</si>
  <si>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</si>
  <si>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</si>
  <si>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</si>
  <si>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</si>
  <si>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</si>
  <si>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</si>
  <si>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</si>
  <si>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</si>
  <si>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</si>
  <si>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</si>
  <si>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</si>
  <si>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</si>
  <si>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</si>
  <si>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</si>
  <si>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</si>
  <si>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</si>
  <si>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</si>
  <si>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</si>
  <si>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</si>
  <si>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</si>
  <si>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</si>
  <si>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</si>
  <si>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</si>
  <si>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</si>
  <si>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</si>
  <si>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</si>
  <si>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</si>
  <si>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</si>
  <si>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</si>
  <si>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</si>
  <si>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</si>
  <si>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</si>
  <si>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</si>
  <si>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</si>
  <si>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</si>
  <si>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</si>
  <si>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</si>
  <si>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</si>
  <si>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</si>
  <si>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</si>
  <si>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</si>
  <si>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</si>
  <si>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</si>
  <si>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</si>
  <si>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</si>
  <si>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</si>
  <si>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</si>
  <si>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</si>
  <si>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</si>
  <si>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</si>
  <si>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</si>
  <si>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</si>
  <si>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</si>
  <si>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</si>
  <si>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</si>
  <si>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</si>
  <si>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</si>
  <si>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</si>
  <si>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</si>
  <si>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</si>
  <si>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</si>
  <si>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</si>
  <si>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</si>
  <si>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</si>
  <si>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</si>
  <si>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</si>
  <si>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</si>
  <si>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</si>
  <si>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</si>
  <si>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</si>
  <si>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</si>
  <si>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</si>
  <si>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</si>
  <si>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</si>
  <si>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</si>
  <si>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</si>
  <si>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</si>
  <si>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</si>
  <si>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</si>
  <si>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</si>
  <si>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</si>
  <si>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</si>
  <si>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</si>
  <si>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</si>
  <si>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</si>
  <si>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</si>
  <si>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</si>
  <si>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</si>
  <si>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</si>
  <si>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</si>
  <si>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</si>
  <si>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</si>
  <si>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</si>
  <si>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</si>
  <si>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</si>
  <si>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</si>
  <si>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</si>
  <si>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</si>
  <si>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</si>
  <si>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</si>
  <si>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</si>
  <si>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</si>
  <si>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</si>
  <si>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</si>
  <si>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</si>
  <si>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</si>
  <si>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</si>
  <si>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</si>
  <si>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</si>
  <si>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</si>
  <si>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</si>
  <si>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</si>
  <si>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</si>
  <si>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</si>
  <si>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</si>
  <si>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</si>
  <si>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</si>
  <si>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</si>
  <si>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</si>
  <si>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</si>
  <si>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</si>
  <si>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</si>
  <si>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</si>
  <si>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</si>
  <si>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</si>
  <si>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</si>
  <si>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</si>
  <si>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</si>
  <si>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</si>
  <si>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</si>
  <si>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</si>
  <si>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</si>
  <si>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</si>
  <si>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</si>
  <si>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</si>
  <si>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</si>
  <si>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</si>
  <si>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</si>
  <si>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</si>
  <si>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</si>
  <si>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</si>
  <si>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</si>
  <si>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</si>
  <si>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</si>
  <si>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</si>
  <si>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</si>
  <si>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</si>
  <si>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</si>
  <si>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</si>
  <si>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</si>
  <si>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</si>
  <si>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</si>
  <si>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</si>
  <si>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</si>
  <si>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</si>
  <si>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</si>
  <si>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</si>
  <si>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</si>
  <si>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</si>
  <si>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</si>
  <si>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</si>
  <si>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</si>
  <si>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</si>
  <si>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</si>
  <si>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</si>
  <si>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</si>
  <si>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</si>
  <si>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</si>
  <si>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</si>
  <si>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</si>
  <si>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</si>
  <si>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</si>
  <si>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</si>
  <si>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</si>
  <si>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</si>
  <si>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</si>
  <si>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</si>
  <si>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</si>
  <si>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</si>
  <si>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</si>
  <si>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</si>
  <si>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</si>
  <si>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</si>
  <si>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</si>
  <si>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</si>
  <si>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</si>
  <si>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</si>
  <si>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</si>
  <si>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</si>
  <si>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</si>
  <si>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</si>
  <si>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</si>
  <si>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</si>
  <si>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</si>
  <si>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</si>
  <si>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</si>
  <si>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</si>
  <si>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</si>
  <si>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</si>
  <si>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</si>
  <si>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</si>
  <si>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</si>
  <si>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</si>
  <si>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</si>
  <si>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</si>
  <si>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</si>
  <si>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</si>
  <si>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</si>
  <si>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</si>
  <si>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</si>
  <si>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</si>
  <si>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</si>
  <si>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</si>
  <si>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</si>
  <si>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</si>
  <si>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</si>
  <si>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</si>
  <si>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</si>
  <si>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</si>
  <si>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</si>
  <si>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</si>
  <si>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</si>
  <si>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</si>
  <si>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</si>
  <si>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</si>
  <si>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</si>
  <si>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</si>
  <si>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</si>
  <si>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</si>
  <si>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</si>
  <si>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</si>
  <si>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</si>
  <si>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</si>
  <si>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</si>
  <si>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</si>
  <si>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</si>
  <si>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</si>
  <si>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</si>
  <si>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</si>
  <si>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</si>
  <si>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</si>
  <si>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</si>
  <si>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</si>
  <si>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</si>
  <si>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</si>
  <si>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</si>
  <si>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</si>
  <si>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</si>
  <si>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</si>
  <si>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</si>
  <si>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</si>
  <si>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</si>
  <si>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</si>
  <si>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</si>
  <si>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</si>
  <si>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</si>
  <si>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</si>
  <si>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</si>
  <si>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</si>
  <si>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</si>
  <si>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</si>
  <si>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</si>
  <si>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</si>
  <si>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</si>
  <si>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</si>
  <si>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</si>
  <si>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</si>
  <si>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</si>
  <si>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</si>
  <si>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</si>
  <si>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</si>
  <si>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</si>
  <si>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</si>
  <si>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</si>
  <si>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</si>
  <si>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</si>
  <si>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</si>
  <si>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</si>
  <si>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</si>
  <si>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</si>
  <si>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</si>
  <si>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</si>
  <si>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</si>
  <si>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</si>
  <si>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</si>
  <si>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</si>
  <si>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</si>
  <si>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</si>
  <si>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</si>
  <si>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</si>
  <si>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</si>
  <si>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</si>
  <si>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</si>
  <si>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</si>
  <si>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</si>
  <si>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</si>
  <si>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</si>
  <si>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</si>
  <si>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</si>
  <si>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</si>
  <si>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</si>
  <si>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</si>
  <si>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</si>
  <si>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</si>
  <si>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</si>
  <si>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</si>
  <si>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</si>
  <si>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</si>
  <si>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</si>
  <si>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</si>
  <si>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</si>
  <si>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</si>
  <si>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</si>
  <si>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</si>
  <si>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</si>
  <si>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</si>
  <si>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</si>
  <si>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</si>
  <si>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</si>
  <si>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</si>
  <si>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</si>
  <si>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</si>
  <si>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</si>
  <si>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</si>
  <si>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</si>
  <si>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</si>
  <si>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</si>
  <si>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</si>
  <si>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</si>
  <si>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</si>
  <si>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</si>
  <si>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</si>
  <si>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</si>
  <si>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</si>
  <si>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</si>
  <si>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</si>
  <si>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</si>
  <si>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</si>
  <si>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</si>
  <si>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</si>
  <si>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</si>
  <si>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</si>
  <si>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</si>
  <si>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</si>
  <si>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</si>
  <si>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</si>
  <si>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</si>
  <si>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</si>
  <si>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</si>
  <si>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</si>
  <si>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</si>
  <si>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</si>
  <si>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</si>
  <si>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</si>
  <si>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</si>
  <si>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</si>
  <si>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</si>
  <si>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</si>
  <si>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</si>
  <si>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</si>
  <si>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</si>
  <si>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</si>
  <si>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</si>
  <si>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</si>
  <si>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</si>
  <si>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</si>
  <si>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</si>
  <si>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</si>
  <si>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</si>
  <si>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</si>
  <si>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</si>
  <si>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</si>
  <si>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</si>
  <si>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</si>
  <si>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</si>
  <si>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</si>
  <si>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</si>
  <si>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</si>
  <si>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</si>
  <si>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</si>
  <si>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</si>
  <si>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</si>
  <si>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</si>
  <si>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</si>
  <si>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</si>
  <si>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</si>
  <si>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</si>
  <si>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</si>
  <si>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</si>
  <si>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</si>
  <si>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</si>
  <si>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</si>
  <si>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</si>
  <si>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</si>
  <si>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</si>
  <si>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</si>
  <si>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</si>
  <si>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</si>
  <si>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</si>
  <si>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</si>
  <si>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</si>
  <si>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</si>
  <si>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</si>
  <si>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</si>
  <si>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</si>
  <si>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</si>
  <si>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</si>
  <si>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</si>
  <si>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</si>
  <si>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</si>
  <si>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</si>
  <si>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</si>
  <si>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</si>
  <si>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</si>
  <si>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</si>
  <si>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</si>
  <si>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</si>
  <si>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</si>
  <si>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</si>
  <si>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</si>
  <si>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</si>
  <si>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</si>
  <si>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</si>
  <si>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</si>
  <si>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</si>
  <si>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</si>
  <si>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</si>
  <si>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</si>
  <si>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</si>
  <si>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</si>
  <si>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</si>
  <si>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</si>
  <si>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</si>
  <si>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</si>
  <si>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</si>
  <si>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</si>
  <si>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</si>
  <si>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</si>
  <si>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</si>
  <si>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</si>
  <si>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</si>
  <si>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</si>
  <si>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</si>
  <si>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</si>
  <si>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</si>
  <si>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</si>
  <si>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</si>
  <si>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</si>
  <si>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</si>
  <si>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</si>
  <si>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</si>
  <si>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</si>
  <si>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</si>
  <si>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</si>
  <si>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</si>
  <si>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</si>
  <si>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</si>
  <si>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</si>
  <si>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</si>
  <si>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</si>
  <si>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</si>
  <si>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</si>
  <si>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</si>
  <si>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</si>
  <si>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</si>
  <si>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</si>
  <si>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</si>
  <si>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</si>
  <si>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</si>
  <si>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</si>
  <si>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</si>
  <si>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</si>
  <si>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</si>
  <si>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</si>
  <si>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</si>
  <si>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</si>
  <si>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</si>
  <si>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</si>
  <si>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</si>
  <si>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</si>
  <si>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</si>
  <si>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</si>
  <si>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</si>
  <si>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</si>
  <si>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</si>
  <si>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</si>
  <si>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</si>
  <si>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</si>
  <si>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</si>
  <si>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</si>
  <si>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</si>
  <si>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</si>
  <si>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</si>
  <si>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</si>
  <si>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</si>
  <si>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</si>
  <si>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</si>
  <si>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</si>
  <si>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</si>
  <si>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</si>
  <si>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</si>
  <si>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</si>
  <si>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</si>
  <si>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</si>
  <si>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</si>
  <si>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</si>
  <si>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</si>
  <si>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</si>
  <si>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</si>
  <si>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</si>
  <si>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</si>
  <si>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</si>
  <si>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</si>
  <si>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</si>
  <si>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</si>
  <si>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</si>
  <si>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</si>
  <si>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</si>
  <si>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</si>
  <si>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</si>
  <si>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</si>
  <si>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</si>
  <si>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</si>
  <si>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</si>
  <si>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</si>
  <si>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</si>
  <si>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</si>
  <si>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</si>
  <si>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</si>
  <si>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</si>
  <si>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</si>
  <si>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</si>
  <si>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</si>
  <si>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</si>
  <si>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</si>
  <si>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</si>
  <si>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</si>
  <si>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</si>
  <si>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</si>
  <si>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</si>
  <si>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</si>
  <si>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</si>
  <si>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</si>
  <si>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</si>
  <si>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</si>
  <si>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</si>
  <si>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</si>
  <si>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</si>
  <si>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</si>
  <si>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</si>
  <si>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</si>
  <si>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</si>
  <si>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</si>
  <si>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</si>
  <si>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</si>
  <si>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</si>
  <si>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</si>
  <si>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</si>
  <si>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</si>
  <si>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</si>
  <si>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</si>
  <si>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</si>
  <si>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</si>
  <si>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</si>
  <si>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</si>
  <si>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</si>
  <si>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</si>
  <si>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</si>
  <si>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</si>
  <si>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</si>
  <si>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</si>
  <si>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</si>
  <si>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</si>
  <si>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</si>
  <si>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</si>
  <si>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</si>
  <si>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</si>
  <si>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</si>
  <si>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</si>
  <si>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</si>
  <si>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</si>
  <si>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</si>
  <si>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</si>
  <si>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</si>
  <si>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</si>
  <si>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</si>
  <si>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</si>
  <si>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</si>
  <si>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</si>
  <si>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</si>
  <si>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</si>
  <si>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</si>
  <si>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</si>
  <si>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</si>
  <si>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</si>
  <si>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</si>
  <si>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</si>
  <si>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</si>
  <si>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</si>
  <si>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</si>
  <si>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</si>
  <si>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</si>
  <si>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</si>
  <si>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</si>
  <si>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</si>
  <si>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</si>
  <si>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</si>
  <si>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</si>
  <si>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</si>
  <si>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</si>
  <si>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</si>
  <si>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</si>
  <si>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</si>
  <si>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</si>
  <si>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</si>
  <si>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</si>
  <si>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</si>
  <si>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</si>
  <si>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</si>
  <si>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</si>
  <si>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</si>
  <si>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</si>
  <si>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</si>
  <si>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</si>
  <si>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</si>
  <si>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</si>
  <si>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</si>
  <si>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</si>
  <si>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</si>
  <si>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</si>
  <si>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</si>
  <si>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</si>
  <si>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</si>
  <si>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</si>
  <si>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</si>
  <si>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</si>
  <si>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</si>
  <si>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</si>
  <si>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</si>
  <si>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</si>
  <si>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</si>
  <si>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</si>
  <si>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</si>
  <si>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</si>
  <si>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</si>
  <si>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</si>
  <si>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</si>
  <si>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</si>
  <si>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</si>
  <si>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</si>
  <si>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</si>
  <si>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</si>
  <si>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</si>
  <si>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</si>
  <si>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</si>
  <si>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</si>
  <si>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</si>
  <si>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</si>
  <si>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</si>
  <si>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</si>
  <si>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</si>
  <si>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</si>
  <si>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</si>
  <si>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</si>
  <si>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</si>
  <si>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</si>
  <si>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</si>
  <si>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</si>
  <si>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</si>
  <si>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</si>
  <si>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</si>
  <si>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</si>
  <si>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</si>
  <si>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</si>
  <si>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</si>
  <si>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</si>
  <si>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</si>
  <si>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</si>
  <si>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</si>
  <si>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</si>
  <si>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</si>
  <si>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</si>
  <si>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</si>
  <si>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</si>
  <si>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</si>
  <si>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</si>
  <si>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</si>
  <si>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</si>
  <si>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</si>
  <si>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</si>
  <si>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</si>
  <si>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</si>
  <si>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</si>
  <si>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</si>
  <si>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</si>
  <si>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</si>
  <si>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</si>
  <si>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</si>
  <si>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</si>
  <si>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</si>
  <si>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</si>
  <si>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</si>
  <si>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</si>
  <si>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</si>
  <si>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</si>
  <si>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</si>
  <si>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</si>
  <si>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</si>
  <si>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</si>
  <si>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</si>
  <si>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</si>
  <si>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</si>
  <si>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</si>
  <si>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</si>
  <si>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</si>
  <si>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</si>
  <si>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</si>
  <si>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</si>
  <si>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</si>
  <si>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</si>
  <si>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</si>
  <si>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</si>
  <si>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</si>
  <si>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</si>
  <si>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</si>
  <si>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</si>
  <si>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</si>
  <si>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</si>
  <si>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</si>
  <si>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</si>
  <si>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</si>
  <si>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</si>
  <si>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</si>
  <si>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</si>
  <si>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</si>
  <si>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</si>
  <si>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</si>
  <si>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</si>
  <si>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</si>
  <si>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</si>
  <si>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</si>
  <si>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</si>
  <si>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</si>
  <si>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</si>
  <si>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</si>
  <si>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</si>
  <si>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</si>
  <si>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</si>
  <si>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</si>
  <si>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</si>
  <si>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</si>
  <si>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</si>
  <si>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</si>
  <si>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</si>
  <si>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</si>
  <si>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</si>
  <si>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</si>
  <si>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</si>
  <si>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</si>
  <si>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</si>
  <si>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</si>
  <si>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</si>
  <si>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</si>
  <si>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</si>
  <si>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</si>
  <si>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</si>
  <si>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</si>
  <si>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</si>
  <si>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</si>
  <si>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</si>
  <si>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</si>
  <si>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</si>
  <si>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</si>
  <si>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</si>
  <si>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</si>
  <si>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</si>
  <si>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</si>
  <si>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</si>
  <si>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</si>
  <si>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</si>
  <si>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</si>
  <si>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</si>
  <si>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</si>
  <si>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</si>
  <si>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</si>
  <si>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</si>
  <si>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</si>
  <si>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</si>
  <si>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</si>
  <si>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</si>
  <si>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</si>
  <si>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</si>
  <si>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</si>
  <si>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</si>
  <si>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</si>
  <si>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</si>
  <si>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</si>
  <si>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</si>
  <si>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</si>
  <si>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</si>
  <si>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</si>
  <si>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</si>
  <si>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</si>
  <si>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</si>
  <si>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</si>
  <si>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</si>
  <si>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</si>
  <si>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</si>
  <si>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</si>
  <si>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</si>
  <si>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</si>
  <si>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</si>
  <si>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</si>
  <si>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</si>
  <si>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</si>
  <si>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</si>
  <si>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</si>
  <si>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</si>
  <si>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</si>
  <si>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</si>
  <si>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</si>
  <si>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</si>
  <si>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</si>
  <si>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</si>
  <si>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</si>
  <si>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</si>
  <si>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</si>
  <si>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</si>
  <si>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</si>
  <si>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</si>
  <si>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</si>
  <si>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</si>
  <si>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</si>
  <si>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</si>
  <si>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</si>
  <si>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</si>
  <si>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</si>
  <si>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</si>
  <si>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</si>
  <si>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</si>
  <si>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</si>
  <si>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</si>
  <si>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</si>
  <si>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</si>
  <si>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</si>
  <si>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</si>
  <si>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</si>
  <si>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</si>
  <si>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</si>
  <si>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</si>
  <si>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</si>
  <si>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</si>
  <si>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</si>
  <si>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</si>
  <si>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</si>
  <si>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</si>
  <si>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</si>
  <si>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</si>
  <si>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</si>
  <si>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</si>
  <si>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</si>
  <si>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</si>
  <si>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</si>
  <si>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</si>
  <si>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</si>
  <si>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</si>
  <si>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</si>
  <si>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</si>
  <si>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</si>
  <si>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</si>
  <si>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</si>
  <si>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</si>
  <si>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</si>
  <si>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</si>
  <si>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</si>
  <si>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</si>
  <si>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</si>
  <si>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</si>
  <si>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</si>
  <si>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</si>
  <si>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</si>
  <si>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</si>
  <si>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</si>
  <si>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</si>
  <si>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</si>
  <si>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</si>
  <si>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</si>
  <si>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</si>
  <si>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</si>
  <si>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</si>
  <si>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</si>
  <si>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</si>
  <si>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</si>
  <si>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</si>
  <si>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</si>
  <si>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</si>
  <si>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</si>
  <si>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</si>
  <si>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</si>
  <si>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</si>
  <si>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</si>
  <si>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</si>
  <si>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</si>
  <si>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</si>
  <si>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</si>
  <si>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</si>
  <si>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</si>
  <si>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</si>
  <si>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</si>
  <si>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</si>
  <si>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</si>
  <si>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</si>
  <si>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</si>
  <si>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</si>
  <si>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</si>
  <si>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</si>
  <si>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</si>
  <si>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</si>
  <si>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</si>
  <si>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</si>
  <si>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</si>
  <si>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</si>
  <si>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</si>
  <si>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</si>
  <si>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</si>
  <si>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</si>
  <si>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</si>
  <si>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</si>
  <si>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</si>
  <si>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</si>
  <si>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</si>
  <si>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</si>
  <si>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</si>
  <si>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</si>
  <si>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</si>
  <si>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</si>
  <si>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</si>
  <si>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</si>
  <si>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</si>
  <si>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</si>
  <si>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</si>
  <si>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</si>
  <si>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</si>
  <si>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</si>
  <si>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</si>
  <si>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</si>
  <si>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</si>
  <si>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</si>
  <si>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</si>
  <si>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</si>
  <si>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</si>
  <si>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</si>
  <si>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</si>
  <si>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</si>
  <si>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</si>
  <si>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</si>
  <si>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</si>
  <si>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</si>
  <si>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</si>
  <si>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</si>
  <si>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</si>
  <si>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</si>
  <si>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</si>
  <si>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</si>
  <si>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</si>
  <si>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</si>
  <si>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</si>
  <si>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</si>
  <si>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</si>
  <si>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</si>
  <si>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</si>
  <si>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</si>
  <si>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</si>
  <si>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</si>
  <si>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</si>
  <si>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</si>
  <si>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</si>
  <si>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</si>
  <si>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</si>
  <si>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</si>
  <si>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</si>
  <si>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</si>
  <si>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</si>
  <si>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</si>
  <si>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</si>
  <si>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</si>
  <si>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</si>
  <si>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</si>
  <si>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</si>
  <si>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</si>
  <si>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</si>
  <si>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</si>
  <si>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</si>
  <si>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</si>
  <si>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</si>
  <si>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</si>
  <si>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</si>
  <si>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</si>
  <si>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</si>
  <si>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</si>
  <si>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</si>
  <si>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</si>
  <si>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</si>
  <si>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</si>
  <si>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</si>
  <si>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</si>
  <si>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</si>
  <si>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</si>
  <si>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</si>
  <si>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</si>
  <si>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</si>
  <si>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</si>
  <si>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</si>
  <si>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</si>
  <si>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</si>
  <si>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</si>
  <si>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</si>
  <si>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</si>
  <si>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</si>
  <si>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</si>
  <si>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</si>
  <si>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</si>
  <si>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</si>
  <si>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</si>
  <si>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</si>
  <si>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</si>
  <si>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</si>
  <si>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</si>
  <si>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</si>
  <si>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</si>
  <si>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</si>
  <si>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</si>
  <si>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</si>
  <si>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</si>
  <si>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</si>
  <si>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</si>
  <si>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</si>
  <si>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</si>
  <si>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</si>
  <si>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</si>
  <si>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</si>
  <si>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</si>
  <si>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</si>
  <si>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</si>
  <si>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</si>
  <si>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</si>
  <si>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</si>
  <si>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</si>
  <si>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</si>
  <si>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</si>
  <si>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</si>
  <si>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</si>
  <si>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</si>
  <si>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</si>
  <si>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</si>
  <si>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</si>
  <si>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</si>
  <si>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</si>
  <si>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</si>
  <si>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</si>
  <si>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</si>
  <si>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</si>
  <si>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</si>
  <si>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</si>
  <si>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</si>
  <si>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</si>
  <si>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</si>
  <si>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</si>
  <si>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</si>
  <si>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</si>
  <si>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</si>
  <si>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</si>
  <si>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</si>
  <si>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</si>
  <si>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</si>
  <si>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</si>
  <si>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</si>
  <si>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</si>
  <si>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</si>
  <si>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</si>
  <si>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</si>
  <si>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</si>
  <si>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</si>
  <si>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</si>
  <si>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</si>
  <si>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</si>
  <si>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</si>
  <si>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</si>
  <si>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</si>
  <si>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</si>
  <si>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</si>
  <si>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</si>
  <si>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</si>
  <si>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</si>
  <si>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</si>
  <si>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</si>
  <si>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</si>
  <si>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</si>
  <si>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</si>
  <si>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</si>
  <si>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</si>
  <si>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</si>
  <si>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</si>
  <si>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</si>
  <si>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</si>
  <si>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</si>
  <si>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</si>
  <si>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</si>
  <si>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</si>
  <si>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</si>
  <si>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</si>
  <si>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</si>
  <si>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</si>
  <si>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</si>
  <si>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</si>
  <si>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</si>
  <si>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</si>
  <si>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</si>
  <si>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</si>
  <si>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</si>
  <si>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</si>
  <si>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</si>
  <si>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</si>
  <si>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</si>
  <si>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</si>
  <si>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</si>
  <si>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</si>
  <si>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</si>
  <si>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</si>
  <si>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</si>
  <si>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</si>
  <si>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</si>
  <si>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</si>
  <si>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</si>
  <si>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</si>
  <si>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</si>
  <si>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</si>
  <si>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</si>
  <si>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</si>
  <si>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</si>
  <si>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</si>
  <si>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</si>
  <si>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</si>
  <si>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</si>
  <si>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</si>
  <si>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</si>
  <si>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</si>
  <si>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</si>
  <si>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</si>
  <si>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</si>
  <si>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</si>
  <si>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</si>
  <si>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</si>
  <si>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</si>
  <si>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</si>
  <si>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</si>
  <si>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</si>
  <si>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</si>
  <si>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</si>
  <si>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</si>
  <si>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</si>
  <si>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</si>
  <si>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</si>
  <si>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</si>
  <si>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</si>
  <si>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</si>
  <si>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</si>
  <si>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</si>
  <si>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</si>
  <si>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</si>
  <si>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</si>
  <si>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</si>
  <si>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</si>
  <si>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</si>
  <si>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</si>
  <si>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</si>
  <si>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</si>
  <si>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</si>
  <si>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</si>
  <si>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</si>
  <si>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</si>
  <si>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</si>
  <si>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</si>
  <si>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</si>
  <si>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</si>
  <si>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</si>
  <si>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</si>
  <si>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</si>
  <si>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</si>
  <si>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</si>
  <si>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</si>
  <si>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</si>
  <si>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</si>
  <si>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</si>
  <si>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</si>
  <si>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</si>
  <si>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</si>
  <si>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</si>
  <si>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</si>
  <si>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</si>
  <si>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</si>
  <si>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</si>
  <si>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</si>
  <si>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</si>
  <si>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</si>
  <si>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</si>
  <si>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</si>
  <si>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</si>
  <si>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</si>
  <si>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</si>
  <si>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</si>
  <si>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</si>
  <si>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</si>
  <si>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</si>
  <si>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</si>
  <si>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</si>
  <si>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</si>
  <si>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</si>
  <si>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</si>
  <si>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</si>
  <si>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</si>
  <si>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</si>
  <si>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</si>
  <si>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</si>
  <si>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</si>
  <si>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</si>
  <si>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</si>
  <si>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</si>
  <si>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</si>
  <si>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</si>
  <si>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</si>
  <si>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</si>
  <si>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</si>
  <si>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</si>
  <si>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</si>
  <si>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</si>
  <si>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</si>
  <si>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</si>
  <si>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</si>
  <si>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</si>
  <si>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</si>
  <si>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</si>
  <si>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</si>
  <si>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</si>
  <si>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</si>
  <si>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</si>
  <si>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</si>
  <si>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</si>
  <si>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</si>
  <si>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</si>
  <si>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</si>
  <si>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</si>
  <si>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</si>
  <si>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</si>
  <si>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</si>
  <si>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</si>
  <si>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</si>
  <si>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</si>
  <si>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</si>
  <si>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</si>
  <si>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</si>
  <si>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</si>
  <si>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</si>
  <si>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</si>
  <si>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</si>
  <si>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</si>
  <si>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</si>
  <si>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</si>
  <si>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</si>
  <si>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</si>
  <si>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</si>
  <si>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</si>
  <si>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</si>
  <si>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</si>
  <si>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</si>
  <si>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</si>
  <si>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</si>
  <si>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</si>
  <si>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</si>
  <si>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</si>
  <si>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</si>
  <si>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</si>
  <si>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</si>
  <si>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</si>
  <si>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</si>
  <si>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</si>
  <si>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</si>
  <si>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</si>
  <si>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</si>
  <si>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</si>
  <si>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</si>
  <si>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</si>
  <si>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</si>
  <si>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</si>
  <si>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</si>
  <si>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</si>
  <si>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</si>
  <si>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</si>
  <si>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</si>
  <si>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</si>
  <si>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</si>
  <si>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</si>
  <si>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</si>
  <si>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</si>
  <si>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</si>
  <si>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</si>
  <si>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</si>
  <si>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</si>
  <si>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</si>
  <si>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</si>
  <si>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</si>
  <si>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</si>
  <si>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</si>
  <si>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</si>
  <si>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</si>
  <si>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</si>
  <si>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</si>
  <si>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</si>
  <si>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</si>
  <si>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</si>
  <si>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</si>
  <si>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</si>
  <si>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</si>
  <si>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</si>
  <si>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</si>
  <si>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</si>
  <si>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</si>
  <si>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</si>
  <si>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</si>
  <si>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</si>
  <si>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</si>
  <si>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</si>
  <si>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</si>
  <si>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</si>
  <si>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</si>
  <si>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</si>
  <si>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</si>
  <si>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</si>
  <si>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</si>
  <si>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</si>
  <si>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</si>
  <si>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</si>
  <si>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</si>
  <si>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</si>
  <si>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</si>
  <si>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</si>
  <si>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</si>
  <si>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</si>
  <si>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</si>
  <si>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</si>
  <si>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</si>
  <si>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</si>
  <si>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</si>
  <si>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</si>
  <si>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</si>
  <si>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</si>
  <si>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</si>
  <si>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</si>
  <si>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</si>
  <si>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</si>
  <si>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</si>
  <si>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</si>
  <si>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</si>
  <si>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</si>
  <si>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</si>
  <si>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</si>
  <si>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</si>
  <si>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</si>
  <si>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</si>
  <si>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</si>
  <si>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</si>
  <si>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</si>
  <si>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</si>
  <si>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</si>
  <si>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</si>
  <si>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</si>
  <si>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</si>
  <si>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</si>
  <si>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</si>
  <si>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</si>
  <si>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</si>
  <si>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</si>
  <si>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</si>
  <si>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</si>
  <si>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</si>
  <si>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</si>
  <si>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</si>
  <si>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</si>
  <si>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</si>
  <si>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</si>
  <si>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</si>
  <si>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</si>
  <si>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</si>
  <si>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</si>
  <si>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</si>
  <si>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</si>
  <si>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</si>
  <si>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</si>
  <si>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</si>
  <si>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</si>
  <si>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</si>
  <si>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</si>
  <si>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</si>
  <si>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</si>
  <si>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</si>
  <si>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</si>
  <si>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</si>
  <si>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</si>
  <si>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</si>
  <si>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</si>
  <si>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</si>
  <si>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</si>
  <si>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</si>
  <si>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</si>
  <si>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</si>
  <si>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</si>
  <si>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</si>
  <si>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</si>
  <si>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</si>
  <si>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</si>
  <si>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</si>
  <si>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</si>
  <si>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</si>
  <si>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</si>
  <si>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</si>
  <si>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</si>
  <si>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</si>
  <si>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</si>
  <si>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</si>
  <si>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</si>
  <si>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</si>
  <si>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</si>
  <si>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</si>
  <si>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</si>
  <si>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</si>
  <si>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</si>
  <si>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</si>
  <si>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</si>
  <si>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</si>
  <si>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</si>
  <si>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</si>
  <si>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</si>
  <si>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</si>
  <si>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</si>
  <si>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</si>
  <si>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</si>
  <si>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</si>
  <si>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</si>
  <si>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</si>
  <si>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</si>
  <si>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</si>
  <si>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</si>
  <si>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</si>
  <si>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</si>
  <si>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</si>
  <si>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</si>
  <si>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</si>
  <si>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</si>
  <si>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</si>
  <si>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</si>
  <si>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</si>
  <si>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</si>
  <si>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</si>
  <si>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</si>
  <si>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</si>
  <si>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</si>
  <si>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</si>
  <si>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</si>
  <si>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</si>
  <si>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</si>
  <si>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</si>
  <si>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</si>
  <si>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</si>
  <si>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</si>
  <si>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</si>
  <si>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</si>
  <si>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</si>
  <si>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</si>
  <si>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</si>
  <si>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</si>
  <si>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</si>
  <si>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</si>
  <si>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</si>
  <si>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</si>
  <si>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</si>
  <si>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</si>
  <si>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</si>
  <si>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</si>
  <si>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</si>
  <si>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</si>
  <si>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</si>
  <si>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</si>
  <si>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</si>
  <si>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</si>
  <si>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</si>
  <si>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</si>
  <si>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</si>
  <si>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</si>
  <si>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</si>
  <si>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</si>
  <si>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</si>
  <si>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</si>
  <si>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</si>
  <si>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</si>
  <si>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</si>
  <si>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</si>
  <si>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</si>
  <si>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</si>
  <si>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</si>
  <si>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</si>
  <si>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</si>
  <si>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</si>
  <si>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</si>
  <si>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</si>
  <si>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</si>
  <si>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</si>
  <si>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</si>
  <si>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</si>
  <si>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</si>
  <si>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</si>
  <si>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</si>
  <si>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</si>
  <si>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</si>
  <si>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</si>
  <si>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</si>
  <si>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</si>
  <si>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</si>
  <si>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</si>
  <si>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</si>
  <si>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</si>
  <si>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</si>
  <si>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</si>
  <si>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</si>
  <si>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</si>
  <si>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</si>
  <si>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</si>
  <si>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</si>
  <si>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</si>
  <si>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</si>
  <si>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</si>
  <si>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</si>
  <si>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</si>
  <si>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</si>
  <si>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</si>
  <si>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</si>
  <si>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</si>
  <si>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</si>
  <si>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</si>
  <si>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</si>
  <si>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</si>
  <si>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</si>
  <si>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</si>
  <si>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</si>
  <si>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</si>
  <si>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</si>
  <si>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</si>
  <si>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</si>
  <si>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</si>
  <si>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</si>
  <si>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</si>
  <si>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</si>
  <si>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</si>
  <si>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</si>
  <si>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</si>
  <si>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</si>
  <si>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</si>
  <si>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</si>
  <si>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</si>
  <si>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</si>
  <si>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</si>
  <si>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</si>
  <si>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</si>
  <si>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</si>
  <si>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</si>
  <si>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</si>
  <si>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</si>
  <si>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</si>
  <si>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</si>
  <si>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</si>
  <si>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</si>
  <si>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</si>
  <si>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</si>
  <si>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</si>
  <si>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</si>
  <si>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</si>
  <si>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</si>
  <si>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</si>
  <si>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</si>
  <si>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</si>
  <si>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</si>
  <si>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</si>
  <si>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</si>
  <si>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</si>
  <si>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</si>
  <si>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</si>
  <si>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</si>
  <si>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</si>
  <si>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</si>
  <si>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</si>
  <si>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</si>
  <si>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</si>
  <si>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</si>
  <si>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</si>
  <si>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</si>
  <si>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</si>
  <si>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</si>
  <si>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</si>
  <si>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</si>
  <si>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</si>
  <si>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</si>
  <si>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</si>
  <si>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</si>
  <si>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</si>
  <si>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</si>
  <si>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</si>
  <si>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</si>
  <si>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</si>
  <si>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</si>
  <si>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</si>
  <si>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</si>
  <si>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</si>
  <si>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</si>
  <si>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</si>
  <si>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</si>
  <si>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</si>
  <si>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</si>
  <si>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</si>
  <si>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</si>
  <si>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</si>
  <si>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</si>
  <si>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</si>
  <si>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</si>
  <si>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</si>
  <si>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</si>
  <si>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</si>
  <si>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</si>
  <si>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</si>
  <si>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</si>
  <si>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</si>
  <si>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</si>
  <si>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</si>
  <si>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</si>
  <si>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</si>
  <si>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</si>
  <si>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</si>
  <si>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</si>
  <si>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</si>
  <si>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</si>
  <si>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</si>
  <si>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</si>
  <si>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</si>
  <si>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</si>
  <si>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</si>
  <si>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</si>
  <si>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</si>
  <si>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</si>
  <si>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</si>
  <si>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</si>
  <si>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</si>
  <si>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</si>
  <si>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</si>
  <si>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</si>
  <si>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</si>
  <si>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</si>
  <si>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</si>
  <si>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</si>
  <si>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</si>
  <si>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</si>
  <si>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</si>
  <si>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</si>
  <si>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</si>
  <si>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</si>
  <si>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</si>
  <si>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</si>
  <si>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</si>
  <si>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</si>
  <si>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</si>
  <si>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</si>
  <si>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</si>
  <si>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</si>
  <si>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</si>
  <si>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</si>
  <si>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</si>
  <si>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</si>
  <si>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</si>
  <si>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</si>
  <si>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</si>
  <si>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</si>
  <si>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</si>
  <si>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</si>
  <si>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</si>
  <si>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</si>
  <si>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</si>
  <si>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</si>
  <si>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</si>
  <si>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</si>
  <si>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</si>
  <si>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</si>
  <si>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</si>
  <si>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</si>
  <si>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</si>
  <si>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</si>
  <si>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</si>
  <si>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</si>
  <si>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</si>
  <si>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</si>
  <si>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</si>
  <si>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</si>
  <si>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</si>
  <si>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</si>
  <si>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</si>
  <si>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</si>
  <si>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</si>
  <si>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</si>
  <si>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</si>
  <si>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</si>
  <si>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</si>
  <si>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</si>
  <si>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</si>
  <si>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</si>
  <si>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</si>
  <si>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</si>
  <si>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</si>
  <si>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</si>
  <si>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</si>
  <si>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</si>
  <si>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</si>
  <si>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</si>
  <si>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</si>
  <si>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</si>
  <si>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</si>
  <si>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</si>
  <si>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</si>
  <si>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</si>
  <si>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</si>
  <si>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</si>
  <si>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</si>
  <si>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</si>
  <si>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</si>
  <si>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</si>
  <si>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</si>
  <si>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</si>
  <si>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</si>
  <si>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</si>
  <si>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</si>
  <si>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</si>
  <si>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</si>
  <si>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</si>
  <si>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</si>
  <si>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</si>
  <si>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</si>
  <si>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</si>
  <si>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</si>
  <si>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</si>
  <si>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</si>
  <si>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</si>
  <si>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</si>
  <si>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</si>
  <si>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</si>
  <si>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</si>
  <si>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</si>
  <si>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</si>
  <si>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</si>
  <si>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</si>
  <si>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</si>
  <si>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</si>
  <si>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</si>
  <si>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</si>
  <si>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</si>
  <si>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</si>
  <si>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</si>
  <si>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</si>
  <si>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</si>
  <si>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</si>
  <si>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</si>
  <si>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</si>
  <si>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</si>
  <si>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</si>
  <si>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</si>
  <si>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</si>
  <si>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</si>
  <si>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</si>
  <si>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</si>
  <si>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</si>
  <si>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</si>
  <si>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</si>
  <si>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</si>
  <si>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</si>
  <si>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</si>
  <si>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</si>
  <si>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</si>
  <si>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</si>
  <si>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</si>
  <si>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</si>
  <si>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</si>
  <si>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</si>
  <si>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</si>
  <si>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</si>
  <si>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</si>
  <si>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</si>
  <si>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</si>
  <si>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</si>
  <si>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</si>
  <si>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</si>
  <si>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</si>
  <si>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</si>
  <si>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</si>
  <si>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</si>
  <si>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</si>
  <si>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</si>
  <si>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</si>
  <si>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</si>
  <si>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</si>
  <si>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</si>
  <si>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</si>
  <si>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</si>
  <si>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</si>
  <si>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</si>
  <si>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</si>
  <si>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</si>
  <si>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</si>
  <si>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</si>
  <si>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</si>
  <si>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</si>
  <si>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</si>
  <si>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</si>
  <si>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</si>
  <si>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</si>
  <si>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</si>
  <si>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</si>
  <si>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</si>
  <si>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</si>
  <si>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</si>
  <si>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</si>
  <si>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</si>
  <si>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</si>
  <si>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</si>
  <si>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</si>
  <si>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</si>
  <si>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</si>
  <si>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</si>
  <si>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</si>
  <si>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</si>
  <si>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</si>
  <si>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</si>
  <si>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</si>
  <si>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</si>
  <si>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</si>
  <si>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</si>
  <si>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</si>
  <si>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</si>
  <si>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</si>
  <si>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</si>
  <si>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</si>
  <si>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</si>
  <si>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</si>
  <si>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</si>
  <si>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</si>
  <si>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</si>
  <si>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</si>
  <si>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</si>
  <si>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</si>
  <si>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</si>
  <si>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</si>
  <si>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</si>
  <si>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</si>
  <si>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</si>
  <si>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</si>
  <si>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</si>
  <si>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</si>
  <si>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</si>
  <si>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</si>
  <si>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</si>
  <si>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</si>
  <si>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</si>
  <si>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</si>
  <si>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</si>
  <si>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</si>
  <si>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</si>
  <si>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</si>
  <si>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</si>
  <si>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</si>
  <si>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</si>
  <si>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</si>
  <si>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</si>
  <si>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</si>
  <si>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</si>
  <si>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</si>
  <si>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</si>
  <si>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</si>
  <si>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</si>
  <si>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</si>
  <si>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</si>
  <si>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</si>
  <si>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</si>
  <si>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</si>
  <si>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</si>
  <si>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</si>
  <si>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</si>
  <si>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</si>
  <si>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</si>
  <si>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</si>
  <si>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</si>
  <si>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</si>
  <si>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</si>
  <si>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</si>
  <si>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</si>
  <si>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</si>
  <si>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</si>
  <si>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</si>
  <si>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</si>
  <si>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</si>
  <si>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</si>
  <si>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</si>
  <si>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</si>
  <si>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</si>
  <si>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</si>
  <si>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</si>
  <si>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</si>
  <si>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</si>
  <si>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</si>
  <si>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</si>
  <si>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</si>
  <si>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</si>
  <si>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</si>
  <si>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</si>
  <si>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</si>
  <si>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</si>
  <si>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</si>
  <si>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</si>
  <si>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</si>
  <si>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</si>
  <si>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</si>
  <si>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</si>
  <si>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</si>
  <si>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</si>
  <si>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</si>
  <si>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</si>
  <si>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</si>
  <si>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</si>
  <si>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</si>
  <si>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</si>
  <si>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</si>
  <si>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</si>
  <si>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</si>
  <si>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</si>
  <si>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</si>
  <si>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</si>
  <si>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</si>
  <si>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</si>
  <si>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</si>
  <si>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</si>
  <si>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</si>
  <si>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</si>
  <si>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</si>
  <si>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</si>
  <si>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</si>
  <si>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</si>
  <si>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</si>
  <si>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</si>
  <si>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</si>
  <si>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</si>
  <si>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</si>
  <si>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</si>
  <si>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</si>
  <si>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</si>
  <si>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</si>
  <si>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</si>
  <si>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</si>
  <si>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</si>
  <si>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</si>
  <si>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</si>
  <si>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</si>
  <si>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</si>
  <si>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</si>
  <si>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</si>
  <si>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</si>
  <si>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</si>
  <si>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</si>
  <si>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</si>
  <si>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</si>
  <si>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</si>
  <si>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</si>
  <si>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</si>
  <si>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</si>
  <si>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</si>
  <si>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</si>
  <si>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</si>
  <si>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</si>
  <si>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</si>
  <si>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</si>
  <si>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</si>
  <si>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</si>
  <si>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</si>
  <si>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</si>
  <si>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</si>
  <si>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</si>
  <si>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</si>
  <si>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</si>
  <si>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</si>
  <si>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</si>
  <si>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</si>
  <si>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</si>
  <si>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</si>
  <si>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</si>
  <si>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</si>
  <si>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</si>
  <si>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</si>
  <si>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</si>
  <si>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</si>
  <si>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</si>
  <si>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</si>
  <si>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</si>
  <si>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</si>
  <si>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</si>
  <si>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</si>
  <si>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</si>
  <si>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</si>
  <si>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</si>
  <si>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</si>
  <si>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</si>
  <si>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</si>
  <si>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</si>
  <si>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</si>
  <si>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</si>
  <si>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</si>
  <si>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</si>
  <si>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</si>
  <si>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</si>
  <si>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</si>
  <si>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</si>
  <si>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</si>
  <si>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</si>
  <si>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</si>
  <si>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</si>
  <si>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</si>
  <si>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</si>
  <si>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</si>
  <si>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</si>
  <si>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</si>
  <si>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</si>
  <si>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</si>
  <si>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</si>
  <si>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</si>
  <si>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</si>
  <si>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</si>
  <si>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</si>
  <si>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</si>
  <si>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</si>
  <si>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</si>
  <si>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</si>
  <si>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</si>
  <si>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</si>
  <si>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</si>
  <si>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</si>
  <si>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</si>
  <si>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</si>
  <si>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</si>
  <si>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</si>
  <si>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</si>
  <si>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</si>
  <si>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</si>
  <si>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</si>
  <si>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</si>
  <si>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</si>
  <si>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</si>
  <si>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</si>
  <si>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</si>
  <si>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</si>
  <si>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</si>
  <si>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</si>
  <si>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</si>
  <si>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</si>
  <si>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</si>
  <si>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</si>
  <si>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</si>
  <si>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</si>
  <si>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</si>
  <si>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</si>
  <si>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</si>
  <si>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</si>
  <si>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</si>
  <si>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</si>
  <si>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</si>
  <si>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</si>
  <si>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</si>
  <si>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</si>
  <si>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</si>
  <si>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</si>
  <si>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</si>
  <si>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</si>
  <si>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</si>
  <si>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</si>
  <si>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</si>
  <si>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</si>
  <si>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</si>
  <si>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</si>
  <si>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</si>
  <si>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</si>
  <si>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</si>
  <si>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</si>
  <si>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</si>
  <si>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</si>
  <si>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</si>
  <si>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</si>
  <si>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</si>
  <si>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</si>
  <si>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</si>
  <si>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</si>
  <si>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</si>
  <si>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</si>
  <si>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</si>
  <si>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</si>
  <si>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</si>
  <si>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</si>
  <si>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</si>
  <si>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</si>
  <si>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</si>
  <si>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</si>
  <si>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</si>
  <si>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</si>
  <si>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</si>
  <si>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</si>
  <si>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</si>
  <si>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</si>
  <si>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</si>
  <si>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</si>
  <si>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</si>
  <si>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</si>
  <si>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</si>
  <si>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</si>
  <si>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</si>
  <si>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</si>
  <si>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</si>
  <si>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</si>
  <si>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</si>
  <si>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</si>
  <si>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</si>
  <si>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</si>
  <si>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</si>
  <si>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</si>
  <si>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</si>
  <si>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</si>
  <si>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</si>
  <si>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</si>
  <si>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</si>
  <si>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</si>
  <si>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</si>
  <si>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</si>
  <si>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</si>
  <si>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</si>
  <si>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</si>
  <si>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</si>
  <si>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</si>
  <si>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</si>
  <si>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</si>
  <si>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</si>
  <si>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</si>
  <si>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</si>
  <si>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</si>
  <si>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</si>
  <si>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</si>
  <si>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</si>
  <si>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</si>
  <si>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</si>
  <si>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</si>
  <si>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</si>
  <si>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</si>
  <si>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</si>
  <si>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</si>
  <si>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</si>
  <si>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</si>
  <si>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</si>
  <si>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</si>
  <si>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</si>
  <si>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</si>
  <si>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</si>
  <si>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</si>
  <si>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</si>
  <si>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</si>
  <si>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</si>
  <si>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</si>
  <si>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</si>
  <si>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</si>
  <si>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</si>
  <si>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</si>
  <si>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</si>
  <si>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</si>
  <si>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</si>
  <si>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</si>
  <si>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</si>
  <si>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</si>
  <si>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</si>
  <si>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</si>
  <si>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</si>
  <si>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</si>
  <si>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</si>
  <si>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</si>
  <si>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</si>
  <si>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</si>
  <si>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</si>
  <si>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</si>
  <si>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</si>
  <si>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</si>
  <si>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</si>
  <si>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</si>
  <si>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</si>
  <si>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</si>
  <si>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</si>
  <si>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</si>
  <si>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</si>
  <si>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</si>
  <si>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</si>
  <si>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</si>
  <si>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</si>
  <si>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</si>
  <si>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</si>
  <si>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</si>
  <si>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</si>
  <si>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</si>
  <si>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</si>
  <si>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</si>
  <si>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</si>
  <si>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</si>
  <si>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</si>
  <si>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</si>
  <si>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</si>
  <si>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</si>
  <si>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</si>
  <si>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</si>
  <si>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</si>
  <si>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</si>
  <si>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</si>
  <si>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</si>
  <si>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</si>
  <si>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</si>
  <si>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</si>
  <si>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</si>
  <si>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</si>
  <si>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</si>
  <si>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</si>
  <si>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</si>
  <si>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</si>
  <si>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</si>
  <si>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</si>
  <si>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</si>
  <si>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</si>
  <si>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</si>
  <si>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</si>
  <si>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</si>
  <si>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</si>
  <si>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</si>
  <si>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</si>
  <si>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</si>
  <si>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</si>
  <si>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</si>
  <si>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</si>
  <si>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</si>
  <si>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</si>
  <si>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</si>
  <si>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</si>
  <si>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</si>
  <si>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</si>
  <si>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</si>
  <si>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</si>
  <si>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</si>
  <si>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</si>
  <si>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</si>
  <si>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</si>
  <si>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</si>
  <si>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</si>
  <si>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</si>
  <si>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</si>
  <si>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</si>
  <si>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</si>
  <si>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</si>
  <si>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</si>
  <si>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</si>
  <si>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</si>
  <si>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</si>
  <si>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</si>
  <si>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</si>
  <si>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</si>
  <si>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</si>
  <si>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</si>
  <si>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</si>
  <si>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</si>
  <si>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</si>
  <si>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</si>
  <si>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</si>
  <si>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</si>
  <si>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</si>
  <si>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</si>
  <si>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</si>
  <si>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</si>
  <si>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</si>
  <si>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</si>
  <si>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</si>
  <si>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</si>
  <si>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</si>
  <si>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</si>
  <si>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</si>
  <si>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</si>
  <si>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</si>
  <si>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</si>
  <si>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</si>
  <si>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</si>
  <si>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</si>
  <si>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</si>
  <si>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</si>
  <si>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</si>
  <si>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</si>
  <si>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</si>
  <si>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</si>
  <si>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</si>
  <si>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</si>
  <si>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</si>
  <si>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</si>
  <si>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</si>
  <si>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</si>
  <si>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</si>
  <si>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</si>
  <si>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</si>
  <si>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</si>
  <si>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</si>
  <si>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</si>
  <si>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</si>
  <si>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</si>
  <si>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</si>
  <si>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</si>
  <si>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</si>
  <si>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</si>
  <si>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</si>
  <si>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</si>
  <si>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</si>
  <si>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</si>
  <si>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</si>
  <si>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</si>
  <si>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</si>
  <si>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</si>
  <si>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</si>
  <si>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</si>
  <si>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</si>
  <si>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</si>
  <si>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</si>
  <si>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</si>
  <si>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</si>
  <si>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</si>
  <si>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</si>
  <si>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</si>
  <si>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</si>
  <si>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</si>
  <si>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</si>
  <si>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</si>
  <si>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</si>
  <si>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</si>
  <si>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</si>
  <si>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</si>
  <si>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</si>
  <si>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</si>
  <si>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</si>
  <si>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</si>
  <si>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</si>
  <si>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</si>
  <si>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</si>
  <si>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</si>
  <si>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</si>
  <si>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</si>
  <si>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</si>
  <si>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</si>
  <si>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</si>
  <si>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</si>
  <si>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</si>
  <si>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</si>
  <si>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</si>
  <si>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</si>
  <si>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</si>
  <si>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</si>
  <si>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</si>
  <si>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</si>
  <si>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</si>
  <si>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</si>
  <si>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</si>
  <si>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</si>
  <si>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</si>
  <si>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</si>
  <si>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</si>
  <si>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</si>
  <si>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</si>
  <si>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</si>
  <si>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</si>
  <si>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</si>
  <si>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</si>
  <si>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</si>
  <si>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</si>
  <si>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</si>
  <si>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</si>
  <si>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</si>
  <si>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</si>
  <si>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</si>
  <si>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</si>
  <si>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</si>
  <si>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</si>
  <si>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</si>
  <si>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</si>
  <si>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</si>
  <si>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</si>
  <si>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</si>
  <si>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</si>
  <si>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</si>
  <si>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</si>
  <si>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</si>
  <si>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</si>
  <si>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</si>
  <si>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</si>
  <si>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</si>
  <si>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</si>
  <si>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</si>
  <si>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</si>
  <si>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</si>
  <si>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</si>
  <si>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</si>
  <si>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</si>
  <si>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</si>
  <si>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</si>
  <si>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</si>
  <si>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</si>
  <si>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</si>
  <si>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</si>
  <si>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</si>
  <si>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</si>
  <si>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</si>
  <si>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</si>
  <si>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</si>
  <si>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</si>
  <si>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</si>
  <si>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</si>
  <si>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</si>
  <si>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</si>
  <si>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</si>
  <si>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</si>
  <si>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</si>
  <si>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</si>
  <si>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</si>
  <si>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</si>
  <si>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</si>
  <si>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</si>
  <si>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</si>
  <si>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</si>
  <si>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</si>
  <si>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</si>
  <si>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</si>
  <si>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</si>
  <si>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</si>
  <si>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</si>
  <si>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</si>
  <si>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</si>
  <si>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</si>
  <si>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</si>
  <si>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</si>
  <si>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</si>
  <si>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</si>
  <si>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</si>
  <si>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</si>
  <si>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</si>
  <si>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</si>
  <si>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</si>
  <si>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</si>
  <si>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</si>
  <si>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</si>
  <si>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</si>
  <si>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</si>
  <si>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</si>
  <si>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</si>
  <si>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</si>
  <si>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</si>
  <si>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</si>
  <si>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</si>
  <si>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</si>
  <si>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</si>
  <si>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</si>
  <si>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</si>
  <si>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</si>
  <si>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</si>
  <si>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</si>
  <si>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</si>
  <si>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</si>
  <si>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</si>
  <si>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</si>
  <si>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</si>
  <si>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</si>
  <si>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</si>
  <si>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</si>
  <si>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</si>
  <si>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</si>
  <si>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</si>
  <si>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</si>
  <si>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</si>
  <si>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</si>
  <si>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</si>
  <si>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</si>
  <si>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</si>
  <si>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</si>
  <si>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</si>
  <si>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</si>
  <si>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</si>
  <si>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</si>
  <si>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</si>
  <si>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</si>
  <si>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</si>
  <si>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</si>
  <si>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</si>
  <si>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</si>
  <si>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</si>
  <si>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</si>
  <si>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</si>
  <si>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</si>
  <si>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</si>
  <si>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</si>
  <si>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</si>
  <si>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</si>
  <si>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</si>
  <si>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</si>
  <si>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</si>
  <si>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</si>
  <si>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</si>
  <si>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</si>
  <si>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</si>
  <si>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</si>
  <si>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</si>
  <si>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</si>
  <si>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</si>
  <si>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</si>
  <si>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</si>
  <si>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</si>
  <si>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</si>
  <si>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</si>
  <si>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</si>
  <si>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</si>
  <si>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</si>
  <si>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</si>
  <si>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</si>
  <si>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</si>
  <si>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</si>
  <si>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</si>
  <si>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</si>
  <si>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</si>
  <si>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</si>
  <si>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</si>
  <si>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</si>
  <si>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</si>
  <si>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</si>
  <si>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</si>
  <si>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</si>
  <si>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</si>
  <si>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</si>
  <si>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</si>
  <si>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</si>
  <si>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</si>
  <si>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</si>
  <si>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</si>
  <si>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</si>
  <si>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</si>
  <si>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</si>
  <si>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</si>
  <si>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</si>
  <si>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</si>
  <si>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</si>
  <si>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</si>
  <si>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</si>
  <si>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</si>
  <si>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</si>
  <si>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</si>
  <si>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</si>
  <si>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</si>
  <si>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</si>
  <si>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</si>
  <si>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</si>
  <si>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</si>
  <si>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</si>
  <si>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</si>
  <si>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</si>
  <si>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</si>
  <si>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</si>
  <si>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</si>
  <si>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</si>
  <si>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</si>
  <si>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</si>
  <si>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</si>
  <si>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</si>
  <si>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</si>
  <si>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</si>
  <si>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</si>
  <si>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</si>
  <si>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</si>
  <si>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</si>
  <si>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</si>
  <si>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</si>
  <si>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</si>
  <si>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</si>
  <si>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</si>
  <si>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</si>
  <si>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</si>
  <si>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</si>
  <si>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</si>
  <si>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</si>
  <si>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</si>
  <si>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</si>
  <si>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</si>
  <si>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</si>
  <si>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</si>
  <si>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</si>
  <si>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</si>
  <si>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</si>
  <si>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</si>
  <si>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</si>
  <si>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</si>
  <si>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</si>
  <si>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</si>
  <si>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</si>
  <si>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</si>
  <si>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</si>
  <si>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</si>
  <si>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</si>
  <si>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</si>
  <si>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</si>
  <si>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</si>
  <si>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</si>
  <si>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</si>
  <si>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</si>
  <si>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</si>
  <si>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</si>
  <si>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</si>
  <si>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</si>
  <si>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</si>
  <si>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</si>
  <si>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</si>
  <si>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</si>
  <si>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</si>
  <si>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</si>
  <si>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</si>
  <si>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</si>
  <si>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</si>
  <si>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</si>
  <si>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</si>
  <si>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</si>
  <si>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</si>
  <si>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</si>
  <si>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</si>
  <si>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</si>
  <si>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</si>
  <si>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</si>
  <si>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</si>
  <si>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</si>
  <si>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</si>
  <si>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</si>
  <si>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</si>
  <si>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</si>
  <si>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</si>
  <si>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</si>
  <si>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</si>
  <si>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</si>
  <si>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</si>
  <si>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</si>
  <si>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</si>
  <si>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</si>
  <si>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</si>
  <si>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</si>
  <si>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</si>
  <si>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</si>
  <si>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</si>
  <si>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</si>
  <si>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</si>
  <si>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</si>
  <si>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</si>
  <si>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</si>
  <si>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</si>
  <si>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</si>
  <si>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</si>
  <si>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</si>
  <si>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</si>
  <si>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</si>
  <si>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</si>
  <si>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</si>
  <si>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</si>
  <si>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</si>
  <si>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</si>
  <si>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</si>
  <si>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</si>
  <si>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</si>
  <si>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</si>
  <si>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</si>
  <si>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</si>
  <si>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</si>
  <si>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</si>
  <si>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</si>
  <si>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</si>
  <si>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</si>
  <si>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</si>
  <si>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</si>
  <si>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</si>
  <si>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</si>
  <si>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</si>
  <si>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</si>
  <si>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</si>
  <si>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</si>
  <si>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</si>
  <si>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</si>
  <si>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</si>
  <si>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</si>
  <si>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</si>
  <si>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</si>
  <si>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</si>
  <si>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</si>
  <si>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</si>
  <si>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</si>
  <si>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</si>
  <si>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</si>
  <si>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</si>
  <si>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</si>
  <si>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</si>
  <si>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</si>
  <si>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</si>
  <si>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</si>
  <si>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</si>
  <si>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</si>
  <si>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</si>
  <si>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</si>
  <si>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</si>
  <si>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</si>
  <si>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</si>
  <si>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</si>
  <si>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</si>
  <si>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</si>
  <si>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</si>
  <si>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</si>
  <si>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</si>
  <si>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</si>
  <si>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</si>
  <si>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</si>
  <si>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</si>
  <si>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</si>
  <si>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</si>
  <si>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</si>
  <si>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</si>
  <si>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</si>
  <si>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</si>
  <si>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</si>
  <si>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</si>
  <si>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</si>
  <si>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</si>
  <si>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</si>
  <si>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</si>
  <si>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</si>
  <si>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</si>
  <si>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</si>
  <si>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</si>
  <si>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</si>
  <si>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</si>
  <si>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</si>
  <si>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</si>
  <si>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</si>
  <si>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</si>
  <si>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</si>
  <si>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</si>
  <si>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</si>
  <si>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</si>
  <si>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</si>
  <si>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</si>
  <si>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</si>
  <si>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</si>
  <si>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</si>
  <si>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</si>
  <si>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</si>
  <si>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</si>
  <si>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</si>
  <si>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</si>
  <si>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</si>
  <si>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</si>
  <si>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</si>
  <si>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</si>
  <si>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</si>
  <si>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</si>
  <si>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</si>
  <si>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</si>
  <si>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</si>
  <si>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</si>
  <si>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</si>
  <si>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</si>
  <si>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</si>
  <si>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</si>
  <si>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</si>
  <si>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</si>
  <si>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</si>
  <si>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</si>
  <si>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</si>
  <si>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</si>
  <si>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</si>
  <si>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</si>
  <si>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</si>
  <si>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</si>
  <si>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</si>
  <si>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</si>
  <si>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</si>
  <si>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</si>
  <si>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</si>
  <si>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</si>
  <si>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</si>
  <si>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</si>
  <si>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</si>
  <si>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</si>
  <si>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</si>
  <si>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</si>
  <si>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</si>
  <si>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</si>
  <si>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</si>
  <si>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</si>
  <si>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</si>
  <si>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</si>
  <si>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</si>
  <si>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</si>
  <si>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</si>
  <si>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</si>
  <si>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</si>
  <si>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</si>
  <si>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</si>
  <si>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</si>
  <si>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</si>
  <si>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</si>
  <si>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</si>
  <si>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</si>
  <si>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</si>
  <si>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</si>
  <si>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</si>
  <si>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</si>
  <si>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</si>
  <si>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</si>
  <si>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</si>
  <si>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</si>
  <si>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</si>
  <si>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</si>
  <si>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</si>
  <si>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</si>
  <si>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</si>
  <si>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</si>
  <si>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</si>
  <si>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</si>
  <si>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</si>
  <si>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</si>
  <si>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</si>
  <si>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</si>
  <si>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</si>
  <si>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</si>
  <si>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</si>
  <si>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</si>
  <si>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</si>
  <si>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</si>
  <si>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</si>
  <si>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</si>
  <si>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</si>
  <si>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</si>
  <si>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</si>
  <si>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</si>
  <si>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</si>
  <si>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</si>
  <si>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</si>
  <si>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</si>
  <si>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</si>
  <si>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</si>
  <si>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</si>
  <si>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</si>
  <si>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</si>
  <si>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</si>
  <si>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</si>
  <si>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</si>
  <si>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</si>
  <si>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</si>
  <si>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</si>
  <si>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</si>
  <si>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</si>
  <si>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</si>
  <si>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</si>
  <si>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</si>
  <si>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</si>
  <si>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</si>
  <si>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</si>
  <si>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</si>
  <si>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</si>
  <si>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</si>
  <si>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</si>
  <si>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</si>
  <si>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</si>
  <si>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</si>
  <si>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</si>
  <si>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</si>
  <si>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</si>
  <si>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</si>
  <si>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</si>
  <si>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</si>
  <si>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</si>
  <si>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</si>
  <si>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</si>
  <si>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</si>
  <si>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</si>
  <si>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</si>
  <si>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</si>
  <si>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</si>
  <si>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</si>
  <si>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</si>
  <si>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</si>
  <si>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</si>
  <si>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</si>
  <si>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</si>
  <si>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</si>
  <si>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</si>
  <si>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</si>
  <si>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</si>
  <si>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</si>
  <si>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</si>
  <si>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</si>
  <si>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</si>
  <si>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</si>
  <si>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</si>
  <si>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</si>
  <si>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</si>
  <si>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</si>
  <si>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</si>
  <si>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</si>
  <si>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</si>
  <si>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</si>
  <si>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</si>
  <si>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</si>
  <si>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</si>
  <si>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</si>
  <si>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</si>
  <si>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</si>
  <si>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</si>
  <si>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</si>
  <si>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</si>
  <si>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</si>
  <si>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</si>
  <si>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</si>
  <si>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</si>
  <si>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</si>
  <si>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</si>
  <si>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</si>
  <si>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</si>
  <si>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</si>
  <si>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</si>
  <si>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</si>
  <si>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</si>
  <si>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</si>
  <si>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</si>
  <si>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</si>
  <si>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</si>
  <si>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</si>
  <si>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</si>
  <si>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</si>
  <si>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</si>
  <si>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</si>
  <si>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</si>
  <si>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</si>
  <si>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</si>
  <si>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</si>
  <si>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</si>
  <si>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</si>
  <si>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</si>
  <si>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</si>
  <si>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</si>
  <si>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</si>
  <si>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</si>
  <si>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</si>
  <si>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</si>
  <si>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</si>
  <si>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</si>
  <si>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</si>
  <si>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</si>
  <si>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</si>
  <si>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</si>
  <si>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</si>
  <si>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</si>
  <si>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</si>
  <si>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</si>
  <si>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</si>
  <si>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</si>
  <si>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</si>
  <si>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</si>
  <si>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</si>
  <si>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</si>
  <si>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</si>
  <si>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</si>
  <si>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</si>
  <si>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</si>
  <si>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</si>
  <si>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</si>
  <si>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</si>
  <si>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</si>
  <si>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</si>
  <si>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</si>
  <si>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</si>
  <si>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</si>
  <si>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</si>
  <si>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</si>
  <si>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</si>
  <si>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</si>
  <si>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</si>
  <si>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</si>
  <si>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</si>
  <si>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</si>
  <si>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</si>
  <si>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</si>
  <si>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</si>
  <si>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</si>
  <si>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</si>
  <si>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</si>
  <si>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</si>
  <si>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</si>
  <si>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</si>
  <si>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</si>
  <si>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</si>
  <si>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</si>
  <si>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</si>
  <si>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</si>
  <si>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</si>
  <si>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</si>
  <si>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</si>
  <si>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</si>
  <si>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</si>
  <si>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</si>
  <si>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</si>
  <si>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</si>
  <si>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</si>
  <si>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</si>
  <si>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</si>
  <si>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</si>
  <si>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</si>
  <si>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</si>
  <si>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</si>
  <si>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</si>
  <si>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</si>
  <si>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</si>
  <si>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</si>
  <si>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</si>
  <si>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</si>
  <si>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</si>
  <si>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</si>
  <si>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</si>
  <si>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</si>
  <si>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</si>
  <si>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</si>
  <si>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</si>
  <si>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</si>
  <si>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</si>
  <si>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</si>
  <si>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</si>
  <si>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</si>
  <si>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</si>
  <si>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</si>
  <si>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</si>
  <si>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</si>
  <si>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</si>
  <si>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</si>
  <si>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</si>
  <si>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</si>
  <si>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</si>
  <si>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</si>
  <si>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</si>
  <si>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</si>
  <si>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</si>
  <si>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</si>
  <si>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</si>
  <si>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</si>
  <si>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</si>
  <si>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</si>
  <si>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</si>
  <si>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</si>
  <si>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</si>
  <si>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</si>
  <si>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</si>
  <si>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</si>
  <si>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</si>
  <si>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</si>
  <si>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</si>
  <si>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</si>
  <si>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</si>
  <si>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</si>
  <si>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</si>
  <si>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</si>
  <si>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</si>
  <si>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</si>
  <si>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</si>
  <si>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</si>
  <si>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</si>
  <si>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</si>
  <si>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</si>
  <si>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</si>
  <si>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</si>
  <si>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</si>
  <si>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</si>
  <si>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</si>
  <si>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</si>
  <si>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</si>
  <si>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</si>
  <si>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</si>
  <si>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</si>
  <si>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</si>
  <si>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</si>
  <si>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</si>
  <si>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</si>
  <si>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</si>
  <si>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</si>
  <si>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</si>
  <si>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</si>
  <si>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</si>
  <si>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</si>
  <si>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</si>
  <si>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</si>
  <si>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</si>
  <si>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</si>
  <si>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</si>
  <si>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</si>
  <si>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</si>
  <si>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</si>
  <si>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</si>
  <si>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</si>
  <si>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</si>
  <si>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</si>
  <si>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</si>
  <si>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</si>
  <si>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</si>
  <si>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</si>
  <si>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</si>
  <si>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</si>
  <si>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</si>
  <si>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</si>
  <si>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</si>
  <si>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</si>
  <si>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</si>
  <si>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</si>
  <si>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</si>
  <si>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</si>
  <si>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</si>
  <si>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</si>
  <si>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</si>
  <si>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</si>
  <si>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</si>
  <si>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</si>
  <si>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</si>
  <si>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</si>
  <si>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</si>
  <si>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</si>
  <si>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</si>
  <si>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</si>
  <si>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</si>
  <si>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</si>
  <si>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</si>
  <si>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</si>
  <si>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</si>
  <si>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</si>
  <si>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</si>
  <si>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</si>
  <si>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</si>
  <si>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</si>
  <si>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</si>
  <si>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</si>
  <si>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</si>
  <si>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</si>
  <si>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</si>
  <si>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</si>
  <si>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</si>
  <si>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</si>
  <si>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</si>
  <si>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</si>
  <si>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</si>
  <si>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</si>
  <si>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</si>
  <si>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</si>
  <si>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</si>
  <si>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</si>
  <si>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</si>
  <si>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</si>
  <si>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</si>
  <si>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</si>
  <si>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</si>
  <si>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</si>
  <si>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</si>
  <si>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</si>
  <si>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</si>
  <si>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</si>
  <si>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</si>
  <si>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</si>
  <si>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</si>
  <si>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</si>
  <si>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</si>
  <si>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</si>
  <si>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</si>
  <si>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</si>
  <si>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</si>
  <si>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</si>
  <si>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</si>
  <si>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</si>
  <si>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</si>
  <si>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</si>
  <si>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</si>
  <si>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</si>
  <si>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</si>
  <si>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</si>
  <si>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</si>
  <si>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</si>
  <si>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</si>
  <si>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</si>
  <si>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</si>
  <si>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</si>
  <si>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</si>
  <si>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</si>
  <si>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</si>
  <si>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</si>
  <si>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</si>
  <si>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</si>
  <si>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</si>
  <si>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</si>
  <si>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</si>
  <si>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</si>
  <si>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</si>
  <si>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</si>
  <si>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</si>
  <si>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</si>
  <si>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</si>
  <si>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</si>
  <si>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</si>
  <si>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</si>
  <si>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</si>
  <si>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</si>
  <si>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</si>
  <si>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</si>
  <si>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</si>
  <si>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</si>
  <si>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</si>
  <si>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</si>
  <si>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</si>
  <si>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</si>
  <si>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</si>
  <si>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</si>
  <si>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</si>
  <si>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</si>
  <si>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</si>
  <si>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</si>
  <si>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</si>
  <si>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</si>
  <si>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</si>
  <si>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</si>
  <si>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</si>
  <si>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</si>
  <si>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</si>
  <si>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</si>
  <si>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</si>
  <si>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</si>
  <si>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</si>
  <si>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</si>
  <si>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</si>
  <si>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</si>
  <si>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</si>
  <si>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</si>
  <si>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</si>
  <si>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</si>
  <si>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</si>
  <si>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</si>
  <si>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</si>
  <si>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</si>
  <si>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</si>
  <si>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</si>
  <si>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</si>
  <si>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</si>
  <si>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</si>
  <si>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</si>
  <si>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</si>
  <si>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</si>
  <si>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</si>
  <si>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</si>
  <si>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</si>
  <si>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</si>
  <si>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</si>
  <si>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</si>
  <si>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</si>
  <si>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</si>
  <si>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</si>
  <si>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</si>
  <si>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</si>
  <si>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</si>
  <si>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</si>
  <si>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</si>
  <si>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</si>
  <si>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</si>
  <si>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</si>
  <si>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</si>
  <si>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</si>
  <si>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</si>
  <si>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</si>
  <si>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</si>
  <si>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</si>
  <si>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</si>
  <si>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</si>
  <si>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</si>
  <si>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</si>
  <si>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</si>
  <si>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</si>
  <si>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</si>
  <si>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</si>
  <si>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</si>
  <si>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</si>
  <si>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</si>
  <si>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</si>
  <si>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</si>
  <si>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</si>
  <si>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</si>
  <si>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</si>
  <si>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</si>
  <si>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</si>
  <si>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</si>
  <si>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</si>
  <si>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</si>
  <si>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</si>
  <si>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</si>
  <si>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</si>
  <si>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</si>
  <si>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</si>
  <si>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</si>
  <si>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</si>
  <si>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</si>
  <si>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</si>
  <si>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</si>
  <si>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</si>
  <si>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</si>
  <si>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</si>
  <si>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</si>
  <si>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</si>
  <si>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</si>
  <si>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</si>
  <si>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</si>
  <si>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</si>
  <si>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</si>
  <si>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</si>
  <si>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</si>
  <si>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</si>
  <si>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</si>
  <si>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</si>
  <si>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</si>
  <si>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</si>
  <si>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</si>
  <si>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</si>
  <si>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</si>
  <si>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</si>
  <si>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</si>
  <si>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</si>
  <si>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</si>
  <si>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</si>
  <si>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</si>
  <si>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</si>
  <si>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</si>
  <si>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</si>
  <si>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</si>
  <si>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</si>
  <si>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</si>
  <si>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</si>
  <si>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</si>
  <si>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</si>
  <si>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</si>
  <si>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</si>
  <si>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</si>
  <si>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</si>
  <si>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</si>
  <si>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</si>
  <si>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</si>
  <si>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</si>
  <si>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</si>
  <si>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</si>
  <si>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</si>
  <si>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</si>
  <si>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</si>
  <si>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</si>
  <si>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</si>
  <si>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</si>
  <si>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</si>
  <si>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</si>
  <si>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</si>
  <si>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</si>
  <si>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</si>
  <si>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</si>
  <si>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</si>
  <si>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</si>
  <si>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</si>
  <si>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</si>
  <si>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</si>
  <si>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</si>
  <si>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</si>
  <si>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</si>
  <si>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</si>
  <si>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</si>
  <si>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</si>
  <si>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</si>
  <si>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</si>
  <si>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</si>
  <si>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</si>
  <si>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</si>
  <si>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</si>
  <si>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</si>
  <si>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</si>
  <si>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</si>
  <si>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</si>
  <si>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</si>
  <si>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</si>
  <si>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</si>
  <si>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</si>
  <si>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</si>
  <si>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</si>
  <si>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</si>
  <si>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</si>
  <si>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</si>
  <si>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</si>
  <si>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</si>
  <si>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</si>
  <si>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</si>
  <si>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</si>
  <si>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</si>
  <si>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</si>
  <si>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</si>
  <si>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</si>
  <si>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</si>
  <si>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</si>
  <si>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</si>
  <si>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</si>
  <si>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</si>
  <si>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</si>
  <si>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</si>
  <si>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</si>
  <si>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</si>
  <si>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</si>
  <si>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</si>
  <si>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</si>
  <si>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</si>
  <si>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</si>
  <si>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</si>
  <si>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</si>
  <si>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</si>
  <si>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</si>
  <si>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</si>
  <si>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</si>
  <si>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</si>
  <si>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</si>
  <si>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</si>
  <si>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</si>
  <si>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</si>
  <si>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</si>
  <si>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</si>
  <si>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</si>
  <si>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</si>
  <si>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</si>
  <si>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</si>
  <si>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</si>
  <si>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</si>
  <si>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</si>
  <si>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</si>
  <si>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</si>
  <si>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</si>
  <si>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</si>
  <si>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</si>
  <si>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</si>
  <si>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</si>
  <si>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</si>
  <si>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</si>
  <si>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</si>
  <si>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</si>
  <si>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</si>
  <si>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</si>
  <si>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</si>
  <si>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</si>
  <si>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</si>
  <si>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</si>
  <si>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</si>
  <si>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</si>
  <si>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</si>
  <si>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</si>
  <si>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</si>
  <si>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</si>
  <si>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</si>
  <si>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</si>
  <si>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</si>
  <si>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</si>
  <si>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</si>
  <si>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</si>
  <si>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</si>
  <si>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</si>
  <si>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</si>
  <si>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</si>
  <si>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</si>
  <si>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</si>
  <si>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</si>
  <si>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</si>
  <si>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</si>
  <si>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</si>
  <si>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</si>
  <si>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</si>
  <si>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</si>
  <si>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</si>
  <si>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</si>
  <si>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</si>
  <si>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</si>
  <si>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</si>
  <si>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</si>
  <si>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</si>
  <si>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</si>
  <si>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</si>
  <si>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</si>
  <si>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</si>
  <si>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</si>
  <si>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</si>
  <si>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</si>
  <si>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</si>
  <si>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</si>
  <si>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</si>
  <si>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</si>
  <si>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</si>
  <si>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</si>
  <si>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</si>
  <si>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</si>
  <si>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</si>
  <si>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</si>
  <si>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</si>
  <si>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</si>
  <si>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</si>
  <si>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</si>
  <si>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</si>
  <si>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</si>
  <si>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</si>
  <si>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</si>
  <si>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</si>
  <si>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</si>
  <si>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</si>
  <si>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</si>
  <si>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</si>
  <si>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</si>
  <si>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</si>
  <si>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</si>
  <si>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</si>
  <si>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</si>
  <si>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</si>
  <si>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</si>
  <si>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</si>
  <si>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</si>
  <si>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</si>
  <si>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</si>
  <si>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</si>
  <si>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</si>
  <si>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</si>
  <si>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</si>
  <si>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</si>
  <si>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</si>
  <si>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</si>
  <si>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</si>
  <si>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</si>
  <si>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</si>
  <si>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</si>
  <si>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</si>
  <si>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</si>
  <si>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</si>
  <si>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</si>
  <si>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</si>
  <si>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</si>
  <si>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</si>
  <si>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</si>
  <si>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</si>
  <si>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</si>
  <si>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</si>
  <si>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</si>
  <si>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</si>
  <si>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</si>
  <si>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</si>
  <si>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</si>
  <si>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</si>
  <si>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</si>
  <si>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</si>
  <si>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</si>
  <si>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</si>
  <si>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</si>
  <si>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</si>
  <si>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</si>
  <si>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</si>
  <si>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</si>
  <si>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</si>
  <si>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</si>
  <si>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</si>
  <si>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</si>
  <si>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</si>
  <si>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</si>
  <si>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</si>
  <si>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</si>
  <si>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</si>
  <si>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</si>
  <si>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</si>
  <si>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</si>
  <si>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</si>
  <si>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</si>
  <si>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</si>
  <si>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</si>
  <si>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</si>
  <si>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</si>
  <si>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</si>
  <si>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</si>
  <si>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</si>
  <si>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</si>
  <si>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</si>
  <si>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</si>
  <si>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</si>
  <si>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</si>
  <si>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</si>
  <si>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</si>
  <si>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</si>
  <si>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</si>
  <si>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</si>
  <si>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</si>
  <si>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</si>
  <si>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</si>
  <si>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</si>
  <si>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</si>
  <si>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</si>
  <si>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</si>
  <si>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</si>
  <si>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</si>
  <si>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</si>
  <si>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</si>
  <si>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</si>
  <si>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</si>
  <si>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</si>
  <si>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</si>
  <si>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</si>
  <si>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</si>
  <si>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</si>
  <si>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</si>
  <si>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</si>
  <si>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</si>
  <si>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</si>
  <si>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</si>
  <si>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</si>
  <si>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</si>
  <si>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</si>
  <si>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</si>
  <si>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</si>
  <si>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</si>
  <si>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</si>
  <si>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</si>
  <si>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</si>
  <si>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</si>
  <si>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</si>
  <si>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</si>
  <si>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</si>
  <si>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</si>
  <si>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</si>
  <si>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</si>
  <si>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</si>
  <si>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</si>
  <si>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</si>
  <si>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</si>
  <si>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</si>
  <si>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</si>
  <si>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</si>
  <si>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</si>
  <si>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</si>
  <si>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</si>
  <si>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</si>
  <si>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</si>
  <si>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</si>
  <si>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</si>
  <si>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</si>
  <si>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</si>
  <si>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</si>
  <si>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</si>
  <si>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</si>
  <si>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</si>
  <si>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</si>
  <si>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</si>
  <si>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</si>
  <si>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</si>
  <si>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</si>
  <si>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</si>
  <si>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</si>
  <si>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</si>
  <si>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</si>
  <si>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</si>
  <si>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</si>
  <si>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</si>
  <si>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</si>
  <si>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</si>
  <si>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</si>
  <si>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</si>
  <si>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</si>
  <si>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</si>
  <si>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</si>
  <si>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</si>
  <si>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</si>
  <si>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</si>
  <si>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</si>
  <si>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</si>
  <si>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</si>
  <si>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</si>
  <si>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</si>
  <si>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</si>
  <si>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</si>
  <si>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</si>
  <si>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</si>
  <si>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</si>
  <si>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</si>
  <si>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</si>
  <si>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</si>
  <si>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</si>
  <si>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</si>
  <si>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</si>
  <si>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</si>
  <si>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</si>
  <si>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</si>
  <si>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</si>
  <si>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</si>
  <si>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</si>
  <si>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</si>
  <si>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</si>
  <si>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</si>
  <si>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</si>
  <si>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</si>
  <si>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</si>
  <si>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</si>
  <si>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</si>
  <si>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</si>
  <si>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</si>
  <si>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</si>
  <si>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</si>
  <si>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</si>
  <si>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</si>
  <si>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</si>
  <si>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</si>
  <si>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</si>
  <si>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</si>
  <si>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</si>
  <si>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</si>
  <si>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</si>
  <si>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</si>
  <si>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</si>
  <si>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</si>
  <si>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</si>
  <si>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</si>
  <si>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</si>
  <si>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</si>
  <si>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</si>
  <si>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</si>
  <si>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</si>
  <si>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</si>
  <si>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</si>
  <si>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</si>
  <si>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</si>
  <si>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</si>
  <si>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</si>
  <si>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</si>
  <si>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</si>
  <si>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</si>
  <si>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</si>
  <si>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</si>
  <si>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</si>
  <si>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</si>
  <si>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</si>
  <si>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</si>
  <si>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</si>
  <si>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</si>
  <si>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</si>
  <si>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</si>
  <si>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</si>
  <si>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</si>
  <si>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</si>
  <si>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</si>
  <si>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</si>
  <si>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</si>
  <si>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</si>
  <si>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</si>
  <si>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</si>
  <si>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</si>
  <si>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</si>
  <si>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</si>
  <si>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</si>
  <si>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</si>
  <si>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</si>
  <si>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</si>
  <si>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</si>
  <si>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</si>
  <si>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</si>
  <si>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</si>
  <si>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</si>
  <si>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</si>
  <si>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</si>
  <si>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</si>
  <si>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</si>
  <si>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</si>
  <si>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</si>
  <si>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</si>
  <si>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</si>
  <si>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</si>
  <si>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</si>
  <si>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</si>
  <si>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</si>
  <si>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</si>
  <si>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</si>
  <si>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</si>
  <si>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</si>
  <si>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</si>
  <si>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</si>
  <si>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</si>
  <si>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</si>
  <si>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</si>
  <si>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</si>
  <si>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</si>
  <si>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</si>
  <si>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</si>
  <si>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</si>
  <si>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</si>
  <si>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</si>
  <si>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</si>
  <si>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</si>
  <si>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</si>
  <si>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</si>
  <si>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</si>
  <si>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</si>
  <si>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</si>
  <si>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</si>
  <si>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</si>
  <si>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</si>
  <si>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</si>
  <si>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</si>
  <si>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</si>
  <si>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</si>
  <si>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</si>
  <si>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</si>
  <si>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</si>
  <si>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</si>
  <si>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</si>
  <si>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</si>
  <si>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</si>
  <si>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</si>
  <si>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</si>
  <si>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</si>
  <si>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</si>
  <si>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</si>
  <si>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</si>
  <si>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</si>
  <si>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</si>
  <si>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</si>
  <si>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</si>
  <si>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</si>
  <si>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</si>
  <si>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</si>
  <si>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</si>
  <si>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</si>
  <si>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</si>
  <si>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</si>
  <si>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</si>
  <si>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</si>
  <si>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</si>
  <si>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</si>
  <si>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</si>
  <si>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</si>
  <si>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</si>
  <si>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</si>
  <si>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</si>
  <si>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</si>
  <si>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</si>
  <si>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</si>
  <si>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</si>
  <si>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</si>
  <si>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</si>
  <si>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</si>
  <si>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</si>
  <si>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</si>
  <si>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</si>
  <si>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</si>
  <si>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</si>
  <si>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</si>
  <si>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</si>
  <si>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</si>
  <si>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</si>
  <si>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</si>
  <si>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</si>
  <si>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</si>
  <si>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</si>
  <si>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</si>
  <si>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</si>
  <si>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</si>
  <si>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</si>
  <si>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</si>
  <si>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</si>
  <si>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</si>
  <si>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</si>
  <si>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</si>
  <si>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</si>
  <si>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</si>
  <si>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</si>
  <si>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</si>
  <si>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</si>
  <si>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</si>
  <si>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</si>
  <si>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</si>
  <si>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</si>
  <si>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</si>
  <si>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</si>
  <si>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</si>
  <si>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</si>
  <si>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</si>
  <si>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</si>
  <si>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</si>
  <si>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</si>
  <si>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</si>
  <si>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</si>
  <si>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</si>
  <si>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</si>
  <si>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</si>
  <si>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</si>
  <si>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</si>
  <si>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</si>
  <si>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</si>
  <si>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</si>
  <si>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</si>
  <si>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</si>
  <si>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</si>
  <si>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</si>
  <si>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</si>
  <si>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</si>
  <si>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</si>
  <si>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</si>
  <si>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</si>
  <si>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</si>
  <si>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</si>
  <si>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</si>
  <si>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</si>
  <si>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</si>
  <si>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</si>
  <si>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</si>
  <si>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</si>
  <si>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</si>
  <si>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</si>
  <si>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</si>
  <si>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</si>
  <si>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</si>
  <si>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</si>
  <si>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</si>
  <si>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</si>
  <si>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</si>
  <si>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</si>
  <si>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</si>
  <si>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</si>
  <si>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</si>
  <si>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</si>
  <si>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</si>
  <si>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</si>
  <si>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</si>
  <si>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</si>
  <si>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</si>
  <si>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</si>
  <si>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</si>
  <si>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</si>
  <si>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</si>
  <si>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</si>
  <si>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</si>
  <si>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</si>
  <si>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</si>
  <si>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</si>
  <si>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</si>
  <si>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</si>
  <si>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</si>
  <si>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</si>
  <si>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</si>
  <si>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</si>
  <si>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</si>
  <si>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</si>
  <si>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</si>
  <si>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</si>
  <si>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</si>
  <si>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</si>
  <si>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</si>
  <si>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</si>
  <si>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</si>
  <si>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</si>
  <si>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</si>
  <si>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</si>
  <si>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</si>
  <si>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</si>
  <si>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</si>
  <si>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</si>
  <si>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</si>
  <si>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</si>
  <si>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</si>
  <si>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</si>
  <si>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</si>
  <si>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</si>
  <si>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</si>
  <si>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</si>
  <si>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</si>
  <si>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</si>
  <si>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</si>
  <si>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</si>
  <si>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</si>
  <si>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</si>
  <si>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</si>
  <si>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</si>
  <si>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</si>
  <si>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</si>
  <si>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</si>
  <si>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</si>
  <si>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</si>
  <si>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</si>
  <si>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</si>
  <si>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</si>
  <si>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</si>
  <si>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</si>
  <si>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</si>
  <si>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</si>
  <si>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</si>
  <si>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</si>
  <si>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</si>
  <si>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</si>
  <si>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</si>
  <si>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</si>
  <si>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</si>
  <si>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</si>
  <si>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</si>
  <si>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</si>
  <si>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</si>
  <si>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</si>
  <si>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</si>
  <si>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</si>
  <si>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</si>
  <si>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</si>
  <si>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</si>
  <si>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</si>
  <si>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</si>
  <si>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</si>
  <si>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</si>
  <si>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</si>
  <si>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</si>
  <si>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</si>
  <si>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</si>
  <si>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</si>
  <si>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</si>
  <si>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</si>
  <si>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</si>
  <si>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</si>
  <si>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</si>
  <si>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</si>
  <si>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</si>
  <si>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</si>
  <si>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</si>
  <si>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</si>
  <si>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</si>
  <si>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</si>
  <si>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</si>
  <si>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</si>
  <si>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</si>
  <si>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</si>
  <si>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</si>
  <si>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</si>
  <si>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</si>
  <si>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</si>
  <si>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</si>
  <si>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</si>
  <si>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</si>
  <si>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</si>
  <si>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</si>
  <si>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</si>
  <si>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</si>
  <si>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</si>
  <si>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</si>
  <si>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</si>
  <si>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</si>
  <si>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</si>
  <si>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</si>
  <si>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</si>
  <si>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</si>
  <si>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</si>
  <si>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</si>
  <si>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</si>
  <si>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</si>
  <si>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</si>
  <si>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</si>
  <si>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</si>
  <si>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</si>
  <si>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</si>
  <si>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</si>
  <si>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</si>
  <si>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</si>
  <si>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</si>
  <si>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</si>
  <si>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</si>
  <si>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</si>
  <si>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</si>
  <si>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</si>
  <si>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</si>
  <si>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</si>
  <si>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</si>
  <si>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</si>
  <si>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</si>
  <si>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</si>
  <si>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</si>
  <si>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</si>
  <si>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</si>
  <si>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</si>
  <si>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</si>
  <si>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</si>
  <si>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</si>
  <si>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</si>
  <si>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</si>
  <si>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</si>
  <si>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</si>
  <si>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</si>
  <si>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</si>
  <si>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</si>
  <si>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</si>
  <si>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</si>
  <si>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</si>
  <si>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</si>
  <si>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</si>
  <si>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</si>
  <si>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</si>
  <si>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</si>
  <si>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</si>
  <si>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</si>
  <si>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</si>
  <si>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</si>
  <si>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</si>
  <si>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</si>
  <si>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</si>
  <si>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</si>
  <si>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</si>
  <si>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</si>
  <si>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</si>
  <si>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</si>
  <si>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</si>
  <si>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</si>
  <si>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</si>
  <si>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</si>
  <si>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</si>
  <si>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</si>
  <si>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</si>
  <si>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</si>
  <si>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</si>
  <si>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</si>
  <si>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</si>
  <si>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</si>
  <si>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</si>
  <si>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</si>
  <si>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</si>
  <si>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</si>
  <si>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</si>
  <si>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</si>
  <si>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</si>
  <si>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</si>
  <si>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</si>
  <si>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</si>
  <si>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</si>
  <si>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</si>
  <si>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</si>
  <si>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</si>
  <si>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</si>
  <si>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</si>
  <si>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</si>
  <si>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</si>
  <si>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</si>
  <si>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</si>
  <si>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</si>
  <si>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</si>
  <si>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</si>
  <si>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</si>
  <si>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</si>
  <si>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</si>
  <si>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</si>
  <si>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</si>
  <si>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</si>
  <si>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</si>
  <si>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</si>
  <si>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</si>
  <si>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</si>
  <si>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</si>
  <si>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</si>
  <si>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</si>
  <si>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</si>
  <si>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</si>
  <si>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</si>
  <si>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</si>
  <si>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</si>
  <si>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</si>
  <si>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</si>
  <si>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</si>
  <si>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</si>
  <si>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</si>
  <si>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</si>
  <si>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</si>
  <si>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</si>
  <si>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</si>
  <si>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</si>
  <si>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</si>
  <si>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</si>
  <si>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</si>
  <si>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</si>
  <si>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</si>
  <si>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</si>
  <si>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</si>
  <si>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</si>
  <si>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</si>
  <si>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</si>
  <si>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</si>
  <si>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</si>
  <si>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</si>
  <si>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</si>
  <si>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</si>
  <si>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</si>
  <si>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</si>
  <si>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</si>
  <si>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</si>
  <si>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</si>
  <si>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</si>
  <si>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</si>
  <si>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</si>
  <si>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</si>
  <si>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</si>
  <si>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</si>
  <si>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</si>
  <si>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</si>
  <si>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</si>
  <si>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</si>
  <si>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</si>
  <si>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</si>
  <si>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</si>
  <si>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</si>
  <si>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</si>
  <si>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</si>
  <si>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</si>
  <si>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</si>
  <si>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</si>
  <si>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</si>
  <si>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</si>
  <si>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</si>
  <si>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</si>
  <si>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</si>
  <si>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</si>
  <si>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</si>
  <si>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</si>
  <si>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</si>
  <si>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</si>
  <si>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</si>
  <si>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</si>
  <si>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</si>
  <si>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</si>
  <si>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</si>
  <si>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</si>
  <si>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</si>
  <si>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</si>
  <si>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</si>
  <si>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</si>
  <si>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</si>
  <si>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</si>
  <si>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</si>
  <si>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</si>
  <si>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</si>
  <si>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</si>
  <si>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</si>
  <si>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</si>
  <si>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</si>
  <si>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</si>
  <si>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</si>
  <si>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</si>
  <si>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</si>
  <si>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</si>
  <si>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</si>
  <si>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</si>
  <si>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</si>
  <si>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</si>
  <si>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</si>
  <si>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</si>
  <si>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</si>
  <si>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</si>
  <si>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</si>
  <si>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</si>
  <si>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</si>
  <si>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</si>
  <si>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</si>
  <si>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</si>
  <si>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</si>
  <si>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</si>
  <si>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</si>
  <si>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</si>
  <si>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</si>
  <si>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</si>
  <si>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</si>
  <si>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</si>
  <si>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</si>
  <si>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</si>
  <si>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</si>
  <si>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</si>
  <si>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</si>
  <si>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</si>
  <si>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</si>
  <si>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</si>
  <si>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</si>
  <si>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</si>
  <si>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</si>
  <si>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</si>
  <si>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</si>
  <si>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</si>
  <si>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</si>
  <si>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</si>
  <si>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</si>
  <si>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</si>
  <si>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</si>
  <si>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</si>
  <si>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</si>
  <si>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</si>
  <si>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</si>
  <si>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</si>
  <si>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</si>
  <si>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</si>
  <si>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</si>
  <si>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</si>
  <si>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</si>
  <si>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</si>
  <si>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</si>
  <si>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</si>
  <si>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</si>
  <si>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</si>
  <si>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</si>
  <si>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</si>
  <si>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</si>
  <si>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</si>
  <si>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</si>
  <si>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</si>
  <si>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</si>
  <si>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</si>
  <si>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</si>
  <si>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</si>
  <si>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</si>
  <si>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</si>
  <si>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</si>
  <si>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</si>
  <si>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</si>
  <si>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</si>
  <si>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</si>
  <si>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</si>
  <si>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</si>
  <si>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</si>
  <si>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</si>
  <si>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</si>
  <si>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</si>
  <si>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</si>
  <si>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</si>
  <si>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</si>
  <si>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</si>
  <si>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</si>
  <si>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</si>
  <si>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</si>
  <si>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</si>
  <si>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</si>
  <si>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</si>
  <si>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</si>
  <si>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</si>
  <si>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</si>
  <si>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</si>
  <si>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</si>
  <si>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</si>
  <si>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</si>
  <si>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</si>
  <si>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</si>
  <si>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</si>
  <si>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</si>
  <si>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</si>
  <si>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</si>
  <si>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</si>
  <si>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</si>
  <si>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</si>
  <si>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</si>
  <si>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</si>
  <si>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</si>
  <si>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</si>
  <si>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</si>
  <si>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</si>
  <si>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</si>
  <si>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</si>
  <si>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</si>
  <si>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</si>
  <si>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</si>
  <si>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</si>
  <si>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</si>
  <si>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</si>
  <si>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</si>
  <si>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</si>
  <si>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</si>
  <si>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</si>
  <si>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</si>
  <si>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</si>
  <si>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</si>
  <si>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</si>
  <si>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</si>
  <si>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</si>
  <si>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</si>
  <si>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</si>
  <si>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</si>
  <si>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</si>
  <si>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</si>
  <si>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</si>
  <si>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</si>
  <si>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</si>
  <si>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</si>
  <si>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</si>
  <si>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</si>
  <si>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</si>
  <si>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</si>
  <si>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</si>
  <si>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</si>
  <si>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</si>
  <si>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</si>
  <si>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</si>
  <si>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</si>
  <si>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</si>
  <si>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</si>
  <si>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</si>
  <si>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</si>
  <si>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</si>
  <si>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</si>
  <si>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</si>
  <si>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</si>
  <si>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</si>
  <si>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</si>
  <si>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</si>
  <si>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</si>
  <si>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</si>
  <si>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</si>
  <si>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</si>
  <si>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</si>
  <si>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</si>
  <si>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</si>
  <si>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</si>
  <si>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</si>
  <si>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</si>
  <si>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</si>
  <si>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</si>
  <si>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</si>
  <si>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</si>
  <si>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</si>
  <si>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</si>
  <si>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</si>
  <si>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</si>
  <si>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</si>
  <si>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</si>
  <si>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</si>
  <si>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</si>
  <si>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</si>
  <si>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</si>
  <si>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</si>
  <si>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</si>
  <si>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</si>
  <si>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</si>
  <si>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</si>
  <si>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</si>
  <si>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</si>
  <si>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</si>
  <si>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</si>
  <si>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</si>
  <si>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</si>
  <si>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</si>
  <si>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</si>
  <si>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</si>
  <si>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</si>
  <si>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</si>
  <si>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</si>
  <si>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</si>
  <si>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</si>
  <si>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</si>
  <si>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</si>
  <si>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</si>
  <si>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</si>
  <si>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</si>
  <si>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</si>
  <si>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</si>
  <si>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</si>
  <si>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</si>
  <si>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</si>
  <si>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</si>
  <si>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</si>
  <si>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</si>
  <si>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</si>
  <si>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</si>
  <si>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</si>
  <si>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</si>
  <si>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</si>
  <si>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</si>
  <si>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</si>
  <si>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</si>
  <si>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</si>
  <si>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</si>
  <si>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</si>
  <si>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</si>
  <si>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</si>
  <si>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</si>
  <si>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</si>
  <si>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</si>
  <si>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</si>
  <si>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</si>
  <si>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</si>
  <si>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</si>
  <si>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</si>
  <si>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</si>
  <si>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</si>
  <si>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</si>
  <si>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</si>
  <si>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</si>
  <si>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</si>
  <si>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</si>
  <si>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</si>
  <si>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</si>
  <si>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</si>
  <si>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</si>
  <si>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</si>
  <si>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</si>
  <si>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</si>
  <si>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</si>
  <si>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</si>
  <si>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</si>
  <si>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</si>
  <si>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</si>
  <si>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</si>
  <si>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</si>
  <si>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</si>
  <si>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</si>
  <si>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</si>
  <si>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</si>
  <si>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</si>
  <si>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</si>
  <si>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</si>
  <si>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</si>
  <si>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</si>
  <si>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</si>
  <si>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</si>
  <si>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</si>
  <si>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</si>
  <si>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</si>
  <si>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</si>
  <si>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</si>
  <si>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</si>
  <si>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</si>
  <si>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</si>
  <si>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</si>
  <si>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</si>
  <si>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</si>
  <si>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</si>
  <si>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</si>
  <si>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</si>
  <si>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</si>
  <si>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</si>
  <si>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</si>
  <si>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</si>
  <si>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</si>
  <si>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</si>
  <si>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</si>
  <si>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</si>
  <si>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</si>
  <si>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</si>
  <si>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</si>
  <si>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</si>
  <si>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</si>
  <si>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</si>
  <si>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</si>
  <si>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</si>
  <si>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</si>
  <si>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</si>
  <si>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</si>
  <si>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</si>
  <si>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</si>
  <si>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</si>
  <si>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</si>
  <si>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</si>
  <si>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</si>
  <si>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</si>
  <si>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</si>
  <si>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</si>
  <si>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</si>
  <si>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</si>
  <si>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</si>
  <si>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</si>
  <si>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</si>
  <si>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</si>
  <si>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</si>
  <si>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</si>
  <si>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</si>
  <si>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</si>
  <si>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</si>
  <si>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</si>
  <si>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</si>
  <si>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</si>
  <si>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</si>
  <si>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</si>
  <si>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</si>
  <si>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</si>
  <si>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</si>
  <si>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</si>
  <si>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</si>
  <si>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</si>
  <si>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</si>
  <si>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</si>
  <si>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</si>
  <si>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</si>
  <si>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</si>
  <si>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</si>
  <si>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</si>
  <si>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</si>
  <si>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</si>
  <si>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</si>
  <si>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</si>
  <si>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</si>
  <si>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</si>
  <si>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</si>
  <si>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</si>
  <si>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</si>
  <si>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</si>
  <si>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</si>
  <si>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</si>
  <si>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</si>
  <si>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</si>
  <si>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</si>
  <si>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</si>
  <si>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</si>
  <si>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</si>
  <si>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</si>
  <si>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</si>
  <si>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</si>
  <si>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</si>
  <si>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</si>
  <si>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</si>
  <si>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</si>
  <si>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</si>
  <si>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</si>
  <si>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</si>
  <si>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</si>
  <si>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</si>
  <si>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</si>
  <si>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</si>
  <si>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</si>
  <si>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</si>
  <si>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</si>
  <si>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</si>
  <si>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</si>
  <si>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</si>
  <si>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</si>
  <si>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</si>
  <si>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</si>
  <si>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</si>
  <si>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</si>
  <si>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</si>
  <si>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</si>
  <si>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</si>
  <si>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</si>
  <si>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</si>
  <si>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</si>
  <si>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</si>
  <si>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</si>
  <si>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</si>
  <si>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</si>
  <si>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</si>
  <si>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</si>
  <si>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</si>
  <si>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</si>
  <si>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</si>
  <si>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</si>
  <si>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</si>
  <si>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</si>
  <si>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</si>
  <si>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</si>
  <si>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</si>
  <si>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</si>
  <si>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</si>
  <si>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</si>
  <si>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</si>
  <si>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</si>
  <si>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</si>
  <si>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</si>
  <si>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</si>
  <si>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</si>
  <si>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</si>
  <si>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</si>
  <si>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</si>
  <si>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</si>
  <si>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</si>
  <si>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</si>
  <si>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</si>
  <si>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</si>
  <si>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</si>
  <si>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</si>
  <si>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</si>
  <si>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</si>
  <si>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</si>
  <si>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</si>
  <si>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</si>
  <si>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</si>
  <si>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</si>
  <si>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</si>
  <si>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</si>
  <si>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</si>
  <si>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</si>
  <si>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</si>
  <si>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</si>
  <si>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</si>
  <si>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</si>
  <si>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</si>
  <si>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</si>
  <si>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</si>
  <si>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</si>
  <si>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</si>
  <si>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</si>
  <si>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</si>
  <si>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</si>
  <si>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</si>
  <si>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</si>
  <si>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</si>
  <si>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</si>
  <si>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</si>
  <si>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</si>
  <si>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</si>
  <si>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</si>
  <si>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</si>
  <si>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</si>
  <si>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</si>
  <si>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</si>
  <si>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</si>
  <si>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</si>
  <si>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</si>
  <si>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</si>
  <si>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</si>
  <si>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</si>
  <si>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</si>
  <si>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</si>
  <si>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</si>
  <si>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</si>
  <si>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</si>
  <si>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</si>
  <si>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</si>
  <si>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</si>
  <si>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</si>
  <si>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</si>
  <si>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</si>
  <si>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</si>
  <si>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</si>
  <si>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</si>
  <si>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</si>
  <si>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</si>
  <si>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</si>
  <si>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</si>
  <si>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</si>
  <si>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</si>
  <si>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</si>
  <si>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</si>
  <si>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</si>
  <si>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</si>
  <si>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</si>
  <si>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</si>
  <si>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</si>
  <si>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</si>
  <si>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</si>
  <si>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</si>
  <si>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</si>
  <si>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</si>
  <si>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</si>
  <si>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</si>
  <si>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</si>
  <si>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</si>
  <si>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</si>
  <si>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</si>
  <si>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</si>
  <si>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</si>
  <si>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</si>
  <si>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</si>
  <si>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</si>
  <si>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</si>
  <si>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</si>
  <si>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</si>
  <si>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</si>
  <si>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</si>
  <si>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</si>
  <si>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</si>
  <si>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</si>
  <si>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</si>
  <si>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</si>
  <si>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</si>
  <si>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</si>
  <si>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</si>
  <si>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</si>
  <si>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</si>
  <si>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</si>
  <si>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</si>
  <si>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</si>
  <si>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</si>
  <si>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</si>
  <si>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</si>
  <si>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</si>
  <si>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</si>
  <si>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</si>
  <si>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</si>
  <si>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</si>
  <si>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</si>
  <si>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</si>
  <si>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</si>
  <si>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</si>
  <si>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</si>
  <si>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</si>
  <si>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</si>
  <si>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</si>
  <si>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</si>
  <si>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</si>
  <si>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</si>
  <si>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</si>
  <si>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</si>
  <si>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</si>
  <si>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</si>
  <si>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</si>
  <si>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</si>
  <si>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</si>
  <si>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</si>
  <si>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</si>
  <si>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</si>
  <si>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</si>
  <si>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</si>
  <si>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</si>
  <si>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</si>
  <si>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</si>
  <si>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</si>
  <si>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</si>
  <si>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</si>
  <si>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</si>
  <si>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</si>
  <si>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</si>
  <si>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</si>
  <si>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</si>
  <si>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</si>
  <si>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</si>
  <si>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</si>
  <si>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</si>
  <si>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</si>
  <si>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</si>
  <si>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</si>
  <si>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</si>
  <si>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</si>
  <si>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</si>
  <si>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</si>
  <si>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</si>
  <si>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</si>
  <si>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</si>
  <si>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</si>
  <si>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</si>
  <si>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</si>
  <si>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</si>
  <si>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</si>
  <si>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</si>
  <si>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</si>
  <si>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</si>
  <si>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</si>
  <si>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</si>
  <si>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</si>
  <si>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</si>
  <si>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</si>
  <si>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</si>
  <si>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</si>
  <si>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</si>
  <si>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</si>
  <si>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</si>
  <si>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</si>
  <si>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</si>
  <si>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</si>
  <si>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</si>
  <si>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</si>
  <si>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</si>
  <si>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</si>
  <si>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</si>
  <si>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</si>
  <si>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</si>
  <si>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</si>
  <si>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</si>
  <si>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</si>
  <si>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</si>
  <si>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</si>
  <si>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</si>
  <si>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</si>
  <si>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</si>
  <si>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</si>
  <si>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</si>
  <si>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</si>
  <si>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</si>
  <si>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</si>
  <si>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</si>
  <si>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</si>
  <si>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</si>
  <si>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</si>
  <si>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</si>
  <si>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</si>
  <si>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</si>
  <si>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</si>
  <si>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</si>
  <si>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</si>
  <si>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</si>
  <si>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</si>
  <si>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</si>
  <si>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</si>
  <si>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</si>
  <si>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</si>
  <si>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</si>
  <si>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</si>
  <si>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</si>
  <si>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</si>
  <si>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</si>
  <si>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</si>
  <si>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</si>
  <si>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</si>
  <si>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</si>
  <si>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</si>
  <si>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</si>
  <si>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</si>
  <si>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</si>
  <si>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</si>
  <si>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</si>
  <si>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</si>
  <si>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</si>
  <si>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</si>
  <si>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</si>
  <si>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</si>
  <si>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</si>
  <si>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</si>
  <si>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</si>
  <si>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</si>
  <si>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</si>
  <si>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</si>
  <si>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</si>
  <si>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</si>
  <si>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</si>
  <si>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</si>
  <si>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</si>
  <si>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</si>
  <si>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</si>
  <si>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</si>
  <si>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</si>
  <si>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</si>
  <si>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</si>
  <si>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</si>
  <si>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</si>
  <si>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</si>
  <si>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</si>
  <si>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</si>
  <si>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</si>
  <si>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</si>
  <si>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</si>
  <si>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</si>
  <si>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</si>
  <si>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</si>
  <si>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</si>
  <si>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</si>
  <si>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</si>
  <si>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</si>
  <si>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</si>
  <si>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</si>
  <si>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</si>
  <si>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</si>
  <si>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</si>
  <si>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</si>
  <si>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</si>
  <si>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</si>
  <si>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</si>
  <si>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</si>
  <si>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</si>
  <si>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</si>
  <si>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</si>
  <si>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</si>
  <si>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</si>
  <si>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</si>
  <si>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</si>
  <si>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</si>
  <si>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</si>
  <si>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</si>
  <si>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</si>
  <si>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</si>
  <si>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</si>
  <si>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</si>
  <si>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</si>
  <si>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</si>
  <si>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</si>
  <si>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</si>
  <si>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</si>
  <si>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</si>
  <si>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</si>
  <si>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</si>
  <si>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</si>
  <si>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</si>
  <si>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</si>
  <si>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</si>
  <si>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</si>
  <si>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</si>
  <si>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</si>
  <si>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</si>
  <si>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</si>
  <si>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</si>
  <si>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</si>
  <si>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</si>
  <si>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</si>
  <si>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</si>
  <si>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</si>
  <si>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</si>
  <si>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</si>
  <si>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</si>
  <si>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</si>
  <si>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</si>
  <si>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</si>
  <si>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</si>
  <si>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</si>
  <si>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</si>
  <si>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</si>
  <si>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</si>
  <si>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</si>
  <si>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</si>
  <si>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</si>
  <si>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</si>
  <si>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</si>
  <si>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</si>
  <si>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</si>
  <si>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</si>
  <si>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</si>
  <si>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</si>
  <si>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</si>
  <si>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</si>
  <si>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</si>
  <si>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</si>
  <si>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</si>
  <si>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</si>
  <si>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</si>
  <si>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</si>
  <si>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</si>
  <si>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</si>
  <si>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</si>
  <si>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</si>
  <si>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</si>
  <si>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</si>
  <si>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</si>
  <si>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</si>
  <si>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</si>
  <si>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</si>
  <si>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</si>
  <si>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</si>
  <si>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</si>
  <si>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</si>
  <si>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</si>
  <si>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</si>
  <si>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</si>
  <si>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</si>
  <si>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</si>
  <si>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</si>
  <si>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</si>
  <si>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</si>
  <si>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</si>
  <si>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</si>
  <si>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</si>
  <si>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</si>
  <si>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</si>
  <si>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</si>
  <si>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</si>
  <si>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</si>
  <si>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</si>
  <si>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</si>
  <si>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</si>
  <si>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</si>
  <si>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</si>
  <si>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</si>
  <si>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</si>
  <si>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</si>
  <si>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</si>
  <si>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</si>
  <si>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</si>
  <si>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</si>
  <si>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</si>
  <si>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</si>
  <si>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</si>
  <si>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</si>
  <si>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</si>
  <si>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</si>
  <si>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</si>
  <si>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</si>
  <si>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</si>
  <si>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</si>
  <si>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</si>
  <si>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</si>
  <si>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</si>
  <si>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</si>
  <si>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</si>
  <si>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</si>
  <si>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</si>
  <si>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</si>
  <si>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</si>
  <si>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</si>
  <si>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</si>
  <si>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</si>
  <si>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</si>
  <si>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</si>
  <si>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</si>
  <si>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</si>
  <si>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</si>
  <si>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</si>
  <si>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</si>
  <si>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</si>
  <si>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</si>
  <si>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</si>
  <si>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</si>
  <si>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</si>
  <si>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</si>
  <si>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</si>
  <si>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</si>
  <si>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</si>
  <si>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</si>
  <si>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</si>
  <si>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</si>
  <si>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</si>
  <si>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</si>
  <si>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</si>
  <si>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</si>
  <si>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</si>
  <si>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</si>
  <si>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</si>
  <si>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</si>
  <si>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</si>
  <si>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</si>
  <si>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</si>
  <si>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</si>
  <si>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</si>
  <si>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</si>
  <si>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</si>
  <si>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</si>
  <si>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</si>
  <si>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</si>
  <si>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</si>
  <si>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</si>
  <si>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</si>
  <si>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</si>
  <si>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</si>
  <si>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</si>
  <si>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</si>
  <si>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</si>
  <si>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</si>
  <si>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</si>
  <si>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</si>
  <si>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</si>
  <si>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</si>
  <si>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</si>
  <si>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</si>
  <si>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</si>
  <si>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</si>
  <si>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</si>
  <si>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</si>
  <si>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</si>
  <si>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</si>
  <si>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</si>
  <si>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</si>
  <si>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</si>
  <si>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</si>
  <si>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</si>
  <si>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</si>
  <si>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</si>
  <si>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</si>
  <si>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</si>
  <si>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</si>
  <si>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</si>
  <si>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</si>
  <si>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</si>
  <si>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</si>
  <si>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</si>
  <si>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</si>
  <si>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</si>
  <si>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</si>
  <si>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</si>
  <si>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</si>
  <si>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</si>
  <si>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</si>
  <si>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</si>
  <si>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</si>
  <si>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</si>
  <si>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</si>
  <si>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</si>
  <si>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</si>
  <si>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</si>
  <si>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</si>
  <si>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</si>
  <si>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</si>
  <si>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</si>
  <si>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</si>
  <si>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</si>
  <si>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</si>
  <si>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</si>
  <si>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</si>
  <si>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</si>
  <si>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</si>
  <si>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</si>
  <si>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</si>
  <si>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</si>
  <si>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</si>
  <si>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</si>
  <si>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</si>
  <si>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</si>
  <si>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</si>
  <si>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</si>
  <si>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</si>
  <si>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</si>
  <si>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</si>
  <si>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</si>
  <si>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</si>
  <si>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</si>
  <si>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</si>
  <si>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</si>
  <si>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</si>
  <si>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</si>
  <si>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</si>
  <si>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</si>
  <si>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</si>
  <si>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</si>
  <si>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</si>
  <si>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</si>
  <si>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</si>
  <si>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</si>
  <si>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</si>
  <si>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</si>
  <si>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</si>
  <si>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</si>
  <si>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</si>
  <si>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</si>
  <si>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</si>
  <si>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</si>
  <si>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</si>
  <si>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</si>
  <si>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</si>
  <si>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</si>
  <si>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</si>
  <si>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</si>
  <si>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</si>
  <si>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</si>
  <si>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</si>
  <si>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</si>
  <si>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</si>
  <si>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</si>
  <si>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</si>
  <si>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</si>
  <si>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</si>
  <si>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</si>
  <si>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</si>
  <si>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</si>
  <si>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</si>
  <si>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</si>
  <si>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</si>
  <si>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</si>
  <si>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</si>
  <si>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</si>
  <si>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</si>
  <si>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</si>
  <si>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</si>
  <si>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</si>
  <si>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</si>
  <si>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</si>
  <si>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</si>
  <si>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</si>
  <si>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</si>
  <si>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</si>
  <si>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</si>
  <si>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</si>
  <si>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</si>
  <si>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</si>
  <si>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</si>
  <si>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</si>
  <si>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</si>
  <si>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</si>
  <si>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</si>
  <si>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</si>
  <si>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</si>
  <si>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</si>
  <si>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</si>
  <si>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</si>
  <si>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</si>
  <si>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</si>
  <si>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</si>
  <si>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</si>
  <si>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</si>
  <si>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</si>
  <si>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</si>
  <si>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</si>
  <si>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</si>
  <si>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</si>
  <si>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</si>
  <si>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</si>
  <si>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</si>
  <si>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</si>
  <si>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</si>
  <si>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</si>
  <si>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</si>
  <si>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</si>
  <si>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</si>
  <si>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</si>
  <si>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</si>
  <si>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</si>
  <si>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</si>
  <si>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</si>
  <si>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</si>
  <si>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</si>
  <si>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</si>
  <si>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</si>
  <si>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</si>
  <si>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</si>
  <si>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</si>
  <si>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</si>
  <si>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</si>
  <si>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</si>
  <si>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</si>
  <si>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</si>
  <si>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</si>
  <si>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</si>
  <si>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</si>
  <si>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</si>
  <si>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</si>
  <si>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</si>
  <si>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</si>
  <si>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</si>
  <si>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</si>
  <si>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</si>
  <si>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</si>
  <si>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</si>
  <si>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</si>
  <si>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</si>
  <si>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</si>
  <si>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</si>
  <si>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</si>
  <si>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</si>
  <si>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</si>
  <si>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</si>
  <si>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</si>
  <si>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</si>
  <si>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</si>
  <si>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</si>
  <si>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</si>
  <si>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</si>
  <si>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</si>
  <si>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</si>
  <si>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</si>
  <si>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</si>
  <si>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</si>
  <si>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</si>
  <si>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</si>
  <si>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</si>
  <si>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</si>
  <si>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</si>
  <si>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</si>
  <si>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</si>
  <si>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</si>
  <si>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</si>
  <si>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</si>
  <si>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</si>
  <si>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</si>
  <si>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</si>
  <si>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</si>
  <si>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</si>
  <si>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</si>
  <si>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</si>
  <si>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</si>
  <si>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</si>
  <si>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</si>
  <si>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</si>
  <si>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</si>
  <si>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</si>
  <si>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</si>
  <si>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</si>
  <si>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</si>
  <si>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</si>
  <si>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</si>
  <si>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</si>
  <si>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</si>
  <si>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</si>
  <si>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</si>
  <si>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</si>
  <si>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</si>
  <si>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</si>
  <si>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</si>
  <si>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</si>
  <si>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</si>
  <si>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</si>
  <si>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</si>
  <si>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</si>
  <si>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</si>
  <si>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</si>
  <si>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</si>
  <si>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</si>
  <si>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</si>
  <si>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</si>
  <si>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</si>
  <si>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</si>
  <si>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</si>
  <si>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</si>
  <si>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</si>
  <si>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</si>
  <si>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</si>
  <si>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</si>
  <si>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</si>
  <si>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</si>
  <si>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</si>
  <si>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</si>
  <si>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</si>
  <si>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</si>
  <si>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</si>
  <si>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</si>
  <si>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</si>
  <si>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</si>
  <si>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</si>
  <si>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</si>
  <si>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</si>
  <si>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</si>
  <si>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</si>
  <si>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</si>
  <si>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</si>
  <si>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</si>
  <si>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</si>
  <si>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</si>
  <si>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</si>
  <si>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</si>
  <si>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</si>
  <si>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</si>
  <si>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</si>
  <si>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</si>
  <si>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</si>
  <si>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</si>
  <si>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</si>
  <si>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</si>
  <si>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</si>
  <si>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</si>
  <si>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</si>
  <si>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</si>
  <si>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</si>
  <si>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</si>
  <si>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</si>
  <si>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</si>
  <si>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</si>
  <si>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</si>
  <si>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</si>
  <si>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</si>
  <si>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</si>
  <si>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</si>
  <si>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</si>
  <si>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</si>
  <si>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</si>
  <si>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</si>
  <si>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</si>
  <si>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</si>
  <si>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</si>
  <si>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</si>
  <si>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</si>
  <si>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</si>
  <si>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</si>
  <si>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</si>
  <si>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</si>
  <si>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</si>
  <si>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</si>
  <si>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</si>
  <si>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</si>
  <si>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</si>
  <si>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</si>
  <si>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</si>
  <si>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</si>
  <si>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</si>
  <si>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</si>
  <si>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</si>
  <si>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</si>
  <si>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</si>
  <si>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</si>
  <si>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</si>
  <si>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</si>
  <si>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</si>
  <si>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</si>
  <si>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</si>
  <si>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</si>
  <si>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</si>
  <si>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</si>
  <si>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</si>
  <si>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</si>
  <si>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</si>
  <si>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</si>
  <si>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</si>
  <si>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</si>
  <si>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</si>
  <si>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</si>
  <si>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</si>
  <si>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</si>
  <si>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</si>
  <si>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</si>
  <si>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</si>
  <si>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</si>
  <si>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</si>
  <si>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</si>
  <si>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</si>
  <si>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</si>
  <si>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</si>
  <si>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</si>
  <si>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</si>
  <si>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</si>
  <si>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</si>
  <si>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</si>
  <si>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</si>
  <si>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</si>
  <si>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</si>
  <si>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</si>
  <si>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</si>
  <si>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</si>
  <si>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</si>
  <si>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</si>
  <si>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</si>
  <si>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</si>
  <si>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</si>
  <si>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</si>
  <si>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</si>
  <si>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</si>
  <si>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</si>
  <si>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</si>
  <si>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</si>
  <si>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</si>
  <si>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</si>
  <si>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</si>
  <si>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</si>
  <si>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</si>
  <si>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</si>
  <si>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</si>
  <si>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</si>
  <si>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</si>
  <si>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</si>
  <si>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</si>
  <si>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</si>
  <si>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</si>
  <si>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</si>
  <si>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</si>
  <si>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</si>
  <si>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</si>
  <si>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</si>
  <si>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</si>
  <si>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</si>
  <si>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</si>
  <si>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</si>
  <si>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</si>
  <si>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</si>
  <si>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</si>
  <si>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</si>
  <si>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</si>
  <si>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</si>
  <si>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</si>
  <si>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</si>
  <si>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</si>
  <si>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</si>
  <si>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</si>
  <si>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</si>
  <si>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</si>
  <si>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</si>
  <si>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</si>
  <si>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</si>
  <si>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</si>
  <si>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</si>
  <si>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</si>
  <si>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</si>
  <si>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</si>
  <si>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</si>
  <si>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</si>
  <si>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</si>
  <si>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</si>
  <si>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</si>
  <si>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</si>
  <si>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</si>
  <si>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</si>
  <si>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</si>
  <si>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</si>
  <si>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</si>
  <si>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</si>
  <si>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</si>
  <si>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</si>
  <si>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</si>
  <si>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</si>
  <si>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</si>
  <si>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</si>
  <si>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</si>
  <si>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</si>
  <si>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</si>
  <si>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</si>
  <si>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</si>
  <si>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</si>
  <si>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</si>
  <si>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</si>
  <si>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</si>
  <si>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</si>
  <si>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</si>
  <si>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</si>
  <si>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</si>
  <si>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</si>
  <si>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</si>
  <si>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</si>
  <si>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</si>
  <si>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</si>
  <si>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</si>
  <si>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</si>
  <si>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</si>
  <si>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</si>
  <si>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</si>
  <si>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</si>
  <si>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</si>
  <si>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</si>
  <si>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</si>
  <si>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</si>
  <si>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</si>
  <si>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</si>
  <si>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</si>
  <si>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</si>
  <si>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</si>
  <si>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</si>
  <si>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</si>
  <si>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</si>
  <si>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</si>
  <si>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</si>
  <si>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</si>
  <si>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</si>
  <si>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</si>
  <si>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</si>
  <si>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</si>
  <si>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</si>
  <si>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</si>
  <si>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</si>
  <si>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</si>
  <si>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</si>
  <si>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</si>
  <si>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</si>
  <si>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</si>
  <si>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</si>
  <si>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</si>
  <si>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</si>
  <si>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</si>
  <si>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</si>
  <si>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</si>
  <si>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</si>
  <si>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</si>
  <si>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</si>
  <si>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</si>
  <si>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</si>
  <si>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</si>
  <si>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</si>
  <si>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</si>
  <si>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</si>
  <si>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</si>
  <si>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</si>
  <si>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</si>
  <si>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</si>
  <si>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</si>
  <si>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</si>
  <si>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</si>
  <si>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</si>
  <si>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</si>
  <si>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</si>
  <si>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</si>
  <si>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</si>
  <si>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</si>
  <si>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</si>
  <si>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</si>
  <si>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</si>
  <si>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</si>
  <si>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</si>
  <si>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</si>
  <si>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</si>
  <si>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</si>
  <si>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</si>
  <si>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</si>
  <si>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</si>
  <si>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</si>
  <si>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</si>
  <si>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</si>
  <si>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</si>
  <si>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</si>
  <si>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</si>
  <si>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</si>
  <si>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</si>
  <si>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</si>
  <si>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</si>
  <si>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</si>
  <si>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</si>
  <si>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</si>
  <si>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</si>
  <si>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</si>
  <si>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</si>
  <si>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</si>
  <si>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</si>
  <si>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</si>
  <si>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</si>
  <si>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</si>
  <si>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</si>
  <si>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</si>
  <si>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</si>
  <si>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</si>
  <si>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</si>
  <si>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</si>
  <si>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</si>
  <si>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</si>
  <si>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</si>
  <si>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</si>
  <si>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</si>
  <si>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</si>
  <si>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</si>
  <si>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</si>
  <si>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</si>
  <si>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</si>
  <si>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</si>
  <si>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</si>
  <si>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</si>
  <si>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</si>
  <si>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</si>
  <si>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</si>
  <si>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</si>
  <si>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</si>
  <si>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</si>
  <si>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</si>
  <si>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</si>
  <si>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</si>
  <si>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</si>
  <si>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</si>
  <si>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</si>
  <si>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</si>
  <si>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</si>
  <si>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</si>
  <si>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</si>
  <si>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</si>
  <si>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</si>
  <si>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</si>
  <si>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</si>
  <si>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</si>
  <si>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</si>
  <si>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</si>
  <si>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</si>
  <si>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</si>
  <si>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</si>
  <si>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</si>
  <si>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</si>
  <si>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</si>
  <si>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</si>
  <si>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</si>
  <si>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</si>
  <si>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</si>
  <si>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</si>
  <si>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</si>
  <si>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</si>
  <si>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</si>
  <si>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</si>
  <si>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</si>
  <si>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</si>
  <si>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</si>
  <si>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</si>
  <si>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</si>
  <si>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</si>
  <si>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</si>
  <si>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</si>
  <si>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</si>
  <si>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</si>
  <si>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</si>
  <si>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</si>
  <si>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</si>
  <si>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</si>
  <si>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</si>
  <si>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</si>
  <si>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</si>
  <si>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</si>
  <si>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</si>
  <si>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</si>
  <si>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</si>
  <si>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</si>
  <si>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</si>
  <si>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</si>
  <si>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</si>
  <si>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</si>
  <si>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</si>
  <si>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</si>
  <si>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</si>
  <si>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</si>
  <si>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</si>
  <si>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</si>
  <si>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</si>
  <si>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</si>
  <si>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</si>
  <si>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</si>
  <si>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</si>
  <si>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</si>
  <si>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</si>
  <si>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</si>
  <si>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</si>
  <si>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</si>
  <si>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</si>
  <si>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</si>
  <si>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</si>
  <si>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</si>
  <si>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</si>
  <si>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</si>
  <si>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</si>
  <si>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</si>
  <si>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</si>
  <si>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</si>
  <si>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</si>
  <si>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</si>
  <si>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</si>
  <si>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</si>
  <si>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</si>
  <si>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</si>
  <si>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</si>
  <si>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</si>
  <si>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</si>
  <si>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</si>
  <si>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</si>
  <si>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</si>
  <si>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</si>
  <si>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</si>
  <si>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</si>
  <si>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</si>
  <si>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</si>
  <si>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</si>
  <si>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</si>
  <si>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</si>
  <si>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</si>
  <si>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</si>
  <si>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</si>
  <si>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</si>
  <si>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</si>
  <si>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</si>
  <si>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</si>
  <si>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</si>
  <si>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</si>
  <si>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</si>
  <si>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</si>
  <si>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</si>
  <si>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</si>
  <si>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</si>
  <si>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</si>
  <si>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</si>
  <si>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</si>
  <si>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</si>
  <si>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</si>
  <si>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</si>
  <si>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</si>
  <si>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</si>
  <si>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</si>
  <si>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</si>
  <si>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</si>
  <si>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</si>
  <si>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</si>
  <si>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</si>
  <si>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</si>
  <si>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</si>
  <si>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</si>
  <si>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</si>
  <si>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</si>
  <si>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</si>
  <si>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</si>
  <si>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</si>
  <si>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</si>
  <si>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</si>
  <si>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</si>
  <si>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</si>
  <si>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</si>
  <si>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</si>
  <si>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</si>
  <si>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</si>
  <si>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</si>
  <si>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</si>
  <si>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</si>
  <si>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</si>
  <si>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</si>
  <si>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</si>
  <si>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</si>
  <si>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</si>
  <si>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</si>
  <si>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</si>
  <si>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</si>
  <si>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</si>
  <si>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</si>
  <si>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</si>
  <si>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</si>
  <si>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</si>
  <si>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</si>
  <si>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</si>
  <si>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</si>
  <si>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</si>
  <si>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</si>
  <si>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</si>
  <si>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</si>
  <si>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</si>
  <si>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</si>
  <si>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</si>
  <si>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</si>
  <si>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</si>
  <si>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</si>
  <si>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</si>
  <si>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</si>
  <si>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</si>
  <si>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</si>
  <si>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</si>
  <si>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</si>
  <si>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</si>
  <si>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</si>
  <si>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</si>
  <si>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</si>
  <si>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</si>
  <si>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</si>
  <si>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</si>
  <si>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</si>
  <si>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</si>
  <si>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</si>
  <si>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</si>
  <si>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</si>
  <si>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</si>
  <si>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</si>
  <si>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</si>
  <si>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</si>
  <si>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</si>
  <si>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</si>
  <si>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</si>
  <si>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</si>
  <si>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</si>
  <si>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</si>
  <si>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</si>
  <si>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</si>
  <si>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</si>
  <si>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</si>
  <si>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</si>
  <si>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</si>
  <si>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</si>
  <si>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</si>
  <si>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</si>
  <si>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</si>
  <si>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</si>
  <si>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</si>
  <si>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</si>
  <si>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</si>
  <si>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</si>
  <si>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</si>
  <si>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</si>
  <si>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</si>
  <si>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</si>
  <si>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</si>
  <si>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</si>
  <si>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</si>
  <si>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</si>
  <si>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</si>
  <si>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</si>
  <si>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</si>
  <si>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</si>
  <si>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</si>
  <si>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</si>
  <si>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</si>
  <si>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</si>
  <si>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</si>
  <si>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</si>
  <si>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</si>
  <si>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</si>
  <si>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</si>
  <si>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</si>
  <si>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</si>
  <si>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</si>
  <si>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</si>
  <si>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</si>
  <si>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</si>
  <si>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</si>
  <si>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</si>
  <si>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</si>
  <si>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</si>
  <si>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</si>
  <si>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</si>
  <si>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</si>
  <si>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</si>
  <si>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</si>
  <si>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</si>
  <si>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</si>
  <si>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</si>
  <si>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</si>
  <si>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</si>
  <si>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</si>
  <si>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</si>
  <si>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</si>
  <si>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</si>
  <si>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</si>
  <si>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</si>
  <si>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</si>
  <si>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</si>
  <si>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</si>
  <si>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</si>
  <si>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</si>
  <si>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</si>
  <si>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</si>
  <si>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</si>
  <si>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</si>
  <si>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</si>
  <si>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</si>
  <si>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</si>
  <si>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</si>
  <si>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</si>
  <si>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</si>
  <si>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</si>
  <si>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</si>
  <si>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</si>
  <si>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</si>
  <si>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</si>
  <si>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</si>
  <si>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</si>
  <si>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</si>
  <si>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</si>
  <si>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</si>
  <si>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</si>
  <si>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</si>
  <si>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</si>
  <si>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</si>
  <si>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</si>
  <si>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</si>
  <si>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</si>
  <si>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</si>
  <si>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</si>
  <si>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</si>
  <si>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</si>
  <si>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</si>
  <si>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</si>
  <si>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</si>
  <si>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</si>
  <si>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</si>
  <si>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</si>
  <si>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</si>
  <si>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</si>
  <si>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</si>
  <si>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</si>
  <si>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</si>
  <si>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</si>
  <si>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</si>
  <si>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</si>
  <si>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</si>
  <si>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</si>
  <si>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</si>
  <si>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</si>
  <si>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</si>
  <si>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</si>
  <si>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</si>
  <si>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</si>
  <si>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</si>
  <si>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</si>
  <si>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</si>
  <si>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</si>
  <si>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</si>
  <si>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</si>
  <si>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</si>
  <si>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</si>
  <si>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</si>
  <si>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</si>
  <si>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</si>
  <si>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</si>
  <si>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</si>
  <si>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</si>
  <si>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</si>
  <si>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</si>
  <si>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</si>
  <si>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</si>
  <si>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</si>
  <si>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</si>
  <si>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</si>
  <si>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</si>
  <si>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</si>
  <si>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</si>
  <si>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</si>
  <si>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</si>
  <si>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</si>
  <si>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</si>
  <si>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</si>
  <si>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</si>
  <si>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</si>
  <si>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</si>
  <si>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</si>
  <si>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</si>
  <si>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</si>
  <si>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</si>
  <si>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</si>
  <si>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</si>
  <si>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</si>
  <si>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</si>
  <si>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</si>
  <si>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</si>
  <si>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</si>
  <si>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</si>
  <si>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</si>
  <si>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</si>
  <si>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</si>
  <si>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</si>
  <si>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</si>
  <si>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</si>
  <si>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</si>
  <si>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</si>
  <si>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</si>
  <si>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</si>
  <si>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</si>
  <si>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</si>
  <si>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</si>
  <si>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</si>
  <si>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</si>
  <si>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</si>
  <si>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</si>
  <si>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</si>
  <si>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</si>
  <si>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</si>
  <si>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</si>
  <si>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</si>
  <si>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</si>
  <si>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</si>
  <si>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</si>
  <si>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</si>
  <si>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</si>
  <si>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</si>
  <si>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</si>
  <si>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</si>
  <si>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</si>
  <si>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</si>
  <si>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</si>
  <si>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</si>
  <si>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</si>
  <si>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</si>
  <si>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</si>
  <si>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</si>
  <si>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</si>
  <si>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</si>
  <si>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</si>
  <si>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</si>
  <si>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</si>
  <si>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</si>
  <si>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</si>
  <si>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</si>
  <si>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</si>
  <si>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</si>
  <si>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</si>
  <si>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</si>
  <si>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</si>
  <si>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</si>
  <si>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</si>
  <si>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</si>
  <si>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</si>
  <si>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</si>
  <si>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</si>
  <si>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</si>
  <si>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</si>
  <si>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</si>
  <si>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</si>
  <si>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</si>
  <si>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</si>
  <si>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</si>
  <si>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</si>
  <si>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</si>
  <si>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</si>
  <si>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</si>
  <si>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</si>
  <si>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</si>
  <si>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</si>
  <si>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</si>
  <si>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</si>
  <si>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</si>
  <si>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</si>
  <si>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</si>
  <si>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</si>
  <si>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</si>
  <si>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</si>
  <si>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</si>
  <si>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</si>
  <si>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</si>
  <si>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</si>
  <si>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</si>
  <si>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</si>
  <si>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</si>
  <si>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</si>
  <si>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</si>
  <si>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</si>
  <si>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</si>
  <si>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</si>
  <si>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</si>
  <si>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</si>
  <si>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</si>
  <si>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</si>
  <si>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</si>
  <si>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</si>
  <si>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</si>
  <si>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</si>
  <si>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</si>
  <si>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</si>
  <si>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</si>
  <si>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</si>
  <si>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</si>
  <si>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</si>
  <si>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</si>
  <si>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</si>
  <si>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</si>
  <si>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</si>
  <si>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</si>
  <si>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</si>
  <si>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</si>
  <si>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</si>
  <si>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</si>
  <si>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</si>
  <si>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</si>
  <si>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</si>
  <si>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</si>
  <si>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</si>
  <si>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</si>
  <si>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</si>
  <si>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</si>
  <si>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</si>
  <si>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</si>
  <si>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</si>
  <si>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</si>
  <si>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</si>
  <si>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</si>
  <si>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</si>
  <si>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</si>
  <si>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</si>
  <si>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</si>
  <si>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</si>
  <si>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</si>
  <si>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</si>
  <si>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</si>
  <si>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</si>
  <si>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</si>
  <si>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</si>
  <si>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</si>
  <si>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</si>
  <si>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</si>
  <si>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</si>
  <si>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</si>
  <si>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</si>
  <si>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</si>
  <si>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</si>
  <si>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</si>
  <si>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</si>
  <si>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</si>
  <si>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</si>
  <si>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</si>
  <si>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</si>
  <si>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</si>
  <si>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</si>
  <si>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</si>
  <si>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</si>
  <si>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</si>
  <si>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</si>
  <si>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</si>
  <si>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</si>
  <si>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</si>
  <si>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</si>
  <si>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</si>
  <si>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</si>
  <si>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</si>
  <si>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</si>
  <si>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</si>
  <si>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</si>
  <si>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</si>
  <si>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</si>
  <si>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</si>
  <si>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</si>
  <si>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</si>
  <si>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</si>
  <si>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</si>
  <si>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</si>
  <si>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</si>
  <si>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</si>
  <si>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</si>
  <si>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</si>
  <si>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</si>
  <si>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</si>
  <si>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</si>
  <si>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</si>
  <si>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</si>
  <si>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</si>
  <si>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</si>
  <si>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</si>
  <si>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</si>
  <si>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</si>
  <si>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</si>
  <si>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</si>
  <si>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</si>
  <si>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</si>
  <si>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</si>
  <si>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</si>
  <si>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</si>
  <si>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</si>
  <si>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</si>
  <si>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</si>
  <si>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</si>
  <si>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</si>
  <si>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</si>
  <si>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</si>
  <si>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</si>
  <si>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</si>
  <si>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</si>
  <si>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</si>
  <si>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</si>
  <si>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</si>
  <si>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</si>
  <si>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</si>
  <si>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</si>
  <si>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</si>
  <si>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</si>
  <si>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</si>
  <si>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</si>
  <si>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</si>
  <si>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</si>
  <si>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</si>
  <si>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</si>
  <si>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</si>
  <si>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</si>
  <si>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</si>
  <si>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</si>
  <si>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</si>
  <si>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</si>
  <si>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</si>
  <si>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</si>
  <si>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</si>
  <si>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</si>
  <si>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</si>
  <si>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</si>
  <si>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</si>
  <si>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</si>
  <si>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</si>
  <si>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</si>
  <si>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</si>
  <si>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</si>
  <si>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</si>
  <si>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</si>
  <si>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</si>
  <si>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</si>
  <si>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</si>
  <si>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</si>
  <si>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</si>
  <si>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</si>
  <si>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</si>
  <si>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</si>
  <si>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</si>
  <si>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</si>
  <si>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</si>
  <si>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</si>
  <si>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</si>
  <si>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</si>
  <si>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</si>
  <si>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</si>
  <si>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</si>
  <si>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</si>
  <si>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</si>
  <si>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</si>
  <si>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</si>
  <si>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</si>
  <si>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</si>
  <si>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</si>
  <si>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</si>
  <si>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</si>
  <si>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</si>
  <si>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</si>
  <si>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</si>
  <si>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</si>
  <si>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</si>
  <si>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</si>
  <si>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</si>
  <si>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</si>
  <si>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</si>
  <si>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</si>
  <si>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</si>
  <si>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</si>
  <si>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</si>
  <si>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</si>
  <si>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</si>
  <si>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</si>
  <si>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</si>
  <si>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</si>
  <si>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</si>
  <si>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</si>
  <si>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</si>
  <si>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</si>
  <si>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</si>
  <si>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</si>
  <si>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</si>
  <si>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</si>
  <si>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</si>
  <si>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</si>
  <si>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</si>
  <si>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</si>
  <si>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</si>
  <si>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</si>
  <si>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</si>
  <si>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</si>
  <si>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</si>
  <si>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</si>
  <si>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</si>
  <si>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</si>
  <si>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</si>
  <si>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</si>
  <si>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</si>
  <si>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</si>
  <si>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</si>
  <si>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</si>
  <si>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</si>
  <si>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</si>
  <si>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</si>
  <si>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</si>
  <si>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</si>
  <si>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</si>
  <si>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</si>
  <si>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</si>
  <si>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</si>
  <si>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</si>
  <si>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</si>
  <si>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</si>
  <si>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</si>
  <si>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</si>
  <si>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</si>
  <si>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</si>
  <si>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</si>
  <si>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</si>
  <si>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</si>
  <si>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</si>
  <si>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</si>
  <si>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</si>
  <si>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</si>
  <si>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</si>
  <si>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</si>
  <si>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</si>
  <si>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</si>
  <si>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</si>
  <si>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</si>
  <si>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</si>
  <si>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</si>
  <si>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</si>
  <si>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</si>
  <si>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</si>
  <si>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</si>
  <si>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</si>
  <si>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</si>
  <si>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</si>
  <si>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</si>
  <si>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</si>
  <si>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</si>
  <si>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</si>
  <si>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</si>
  <si>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</si>
  <si>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</si>
  <si>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</si>
  <si>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</si>
  <si>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</si>
  <si>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</si>
  <si>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</si>
  <si>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</si>
  <si>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</si>
  <si>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</si>
  <si>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</si>
  <si>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</si>
  <si>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</si>
  <si>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</si>
  <si>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</si>
  <si>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</si>
  <si>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</si>
  <si>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</si>
  <si>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</si>
  <si>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</si>
  <si>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</si>
  <si>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</si>
  <si>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</si>
  <si>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</si>
  <si>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</si>
  <si>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</si>
  <si>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</si>
  <si>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</si>
  <si>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</si>
  <si>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</si>
  <si>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</si>
  <si>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</si>
  <si>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</si>
  <si>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</si>
  <si>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</si>
  <si>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</si>
  <si>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</si>
  <si>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</si>
  <si>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</si>
  <si>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</si>
  <si>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</si>
  <si>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</si>
  <si>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</si>
  <si>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</si>
  <si>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</si>
  <si>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</si>
  <si>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</si>
  <si>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</si>
  <si>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</si>
  <si>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</si>
  <si>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</si>
  <si>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</si>
  <si>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</si>
  <si>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</si>
  <si>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</si>
  <si>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</si>
  <si>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</si>
  <si>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</si>
  <si>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</si>
  <si>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</si>
  <si>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</si>
  <si>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</si>
  <si>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</si>
  <si>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</si>
  <si>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</si>
  <si>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</si>
  <si>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</si>
  <si>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</si>
  <si>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</si>
  <si>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</si>
  <si>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</si>
  <si>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</si>
  <si>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</si>
  <si>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</si>
  <si>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</si>
  <si>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</si>
  <si>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</si>
  <si>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</si>
  <si>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</si>
  <si>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</si>
  <si>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</si>
  <si>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</si>
  <si>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</si>
  <si>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</si>
  <si>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</si>
  <si>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</si>
  <si>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</si>
  <si>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</si>
  <si>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</si>
  <si>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</si>
  <si>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</si>
  <si>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</si>
  <si>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</si>
  <si>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</si>
  <si>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</si>
  <si>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</si>
  <si>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</si>
  <si>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</si>
  <si>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</si>
  <si>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</si>
  <si>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</si>
  <si>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</si>
  <si>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</si>
  <si>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</si>
  <si>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</si>
  <si>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</si>
  <si>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</si>
  <si>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</si>
  <si>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</si>
  <si>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</si>
  <si>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</si>
  <si>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</si>
  <si>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</si>
  <si>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</si>
  <si>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</si>
  <si>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</si>
  <si>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</si>
  <si>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</si>
  <si>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</si>
  <si>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</si>
  <si>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</si>
  <si>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</si>
  <si>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</si>
  <si>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</si>
  <si>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</si>
  <si>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</si>
  <si>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</si>
  <si>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</si>
  <si>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</si>
  <si>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</si>
  <si>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</si>
  <si>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</si>
  <si>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</si>
  <si>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</si>
  <si>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</si>
  <si>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</si>
  <si>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</si>
  <si>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</si>
  <si>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</si>
  <si>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</si>
  <si>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</si>
  <si>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</si>
  <si>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</si>
  <si>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</si>
  <si>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</si>
  <si>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</si>
  <si>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</si>
  <si>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</si>
  <si>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</si>
  <si>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</si>
  <si>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</si>
  <si>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</si>
  <si>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</si>
  <si>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</si>
  <si>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</si>
  <si>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</si>
  <si>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</si>
  <si>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</si>
  <si>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</si>
  <si>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</si>
  <si>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</si>
  <si>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</si>
  <si>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</si>
  <si>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</si>
  <si>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</si>
  <si>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</si>
  <si>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</si>
  <si>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</si>
  <si>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</si>
  <si>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</si>
  <si>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</si>
  <si>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</si>
  <si>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</si>
  <si>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</si>
  <si>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</si>
  <si>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</si>
  <si>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</si>
  <si>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</si>
  <si>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</si>
  <si>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</si>
  <si>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</si>
  <si>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</si>
  <si>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</si>
  <si>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</si>
  <si>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</si>
  <si>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</si>
  <si>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</si>
  <si>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</si>
  <si>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</si>
  <si>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</si>
  <si>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</si>
  <si>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</si>
  <si>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</si>
  <si>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</si>
  <si>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</si>
  <si>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</si>
  <si>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</si>
  <si>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</si>
  <si>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</si>
  <si>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</si>
  <si>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</si>
  <si>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</si>
  <si>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</si>
  <si>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</si>
  <si>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</si>
  <si>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</si>
  <si>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</si>
  <si>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</si>
  <si>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</si>
  <si>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</si>
  <si>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</si>
  <si>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</si>
  <si>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</si>
  <si>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</si>
  <si>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</si>
  <si>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</si>
  <si>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</si>
  <si>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</si>
  <si>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</si>
  <si>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</si>
  <si>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</si>
  <si>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</si>
  <si>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</si>
  <si>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</si>
  <si>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</si>
  <si>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</si>
  <si>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</si>
  <si>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</si>
  <si>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</si>
  <si>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</si>
  <si>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</si>
  <si>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</si>
  <si>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</si>
  <si>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</si>
  <si>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</si>
  <si>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</si>
  <si>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</si>
  <si>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</si>
  <si>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</si>
  <si>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</si>
  <si>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</si>
  <si>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</si>
  <si>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</si>
  <si>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</si>
  <si>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</si>
  <si>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</si>
  <si>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</si>
  <si>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</si>
  <si>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</si>
  <si>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</si>
  <si>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</si>
  <si>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</si>
  <si>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</si>
  <si>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</si>
  <si>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</si>
  <si>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</si>
  <si>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</si>
  <si>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</si>
  <si>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</si>
  <si>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</si>
  <si>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</si>
  <si>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</si>
  <si>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</si>
  <si>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</si>
  <si>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</si>
  <si>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</si>
  <si>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</si>
  <si>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</si>
  <si>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</si>
  <si>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</si>
  <si>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</si>
  <si>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</si>
  <si>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</si>
  <si>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</si>
  <si>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</si>
  <si>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</si>
  <si>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</si>
  <si>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</si>
  <si>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</si>
  <si>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</si>
  <si>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</si>
  <si>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</si>
  <si>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</si>
  <si>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</si>
  <si>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</si>
  <si>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</si>
  <si>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</si>
  <si>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</si>
  <si>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</si>
  <si>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</si>
  <si>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</si>
  <si>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</si>
  <si>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</si>
  <si>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</si>
  <si>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</si>
  <si>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</si>
  <si>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</si>
  <si>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</si>
  <si>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</si>
  <si>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</si>
  <si>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</si>
  <si>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</si>
  <si>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</si>
  <si>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</si>
  <si>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</si>
  <si>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</si>
  <si>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</si>
  <si>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</si>
  <si>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</si>
  <si>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</si>
  <si>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</si>
  <si>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</si>
  <si>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</si>
  <si>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</si>
  <si>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</si>
  <si>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</si>
  <si>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</si>
  <si>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</si>
  <si>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</si>
  <si>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</si>
  <si>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</si>
  <si>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</si>
  <si>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</si>
  <si>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</si>
  <si>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</si>
  <si>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</si>
  <si>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</si>
  <si>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</si>
  <si>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</si>
  <si>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</si>
  <si>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</si>
  <si>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</si>
  <si>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</si>
  <si>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</si>
  <si>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</si>
  <si>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</si>
  <si>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</si>
  <si>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</si>
  <si>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</si>
  <si>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</si>
  <si>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</si>
  <si>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</si>
  <si>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</si>
  <si>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</si>
  <si>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</si>
  <si>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</si>
  <si>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</si>
  <si>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</si>
  <si>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</si>
  <si>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</si>
  <si>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</si>
  <si>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</si>
  <si>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</si>
  <si>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</si>
  <si>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</si>
  <si>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</si>
  <si>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</si>
  <si>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</si>
  <si>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</si>
  <si>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</si>
  <si>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</si>
  <si>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</si>
  <si>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</si>
  <si>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</si>
  <si>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</si>
  <si>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</si>
  <si>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</si>
  <si>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</si>
  <si>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</si>
  <si>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</si>
  <si>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</si>
  <si>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</si>
  <si>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</si>
  <si>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</si>
  <si>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</si>
  <si>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</si>
  <si>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</si>
  <si>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</si>
  <si>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</si>
  <si>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</si>
  <si>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</si>
  <si>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</si>
  <si>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</si>
  <si>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</si>
  <si>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</si>
  <si>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</si>
  <si>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</si>
  <si>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</si>
  <si>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</si>
  <si>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</si>
  <si>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</si>
  <si>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</si>
  <si>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</si>
  <si>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</si>
  <si>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</si>
  <si>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</si>
  <si>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</si>
  <si>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</si>
  <si>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</si>
  <si>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</si>
  <si>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</si>
  <si>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</si>
  <si>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</si>
  <si>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</si>
  <si>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</si>
  <si>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</si>
  <si>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</si>
  <si>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</si>
  <si>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</si>
  <si>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</si>
  <si>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</si>
  <si>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</si>
  <si>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</si>
  <si>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</si>
  <si>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</si>
  <si>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</si>
  <si>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</si>
  <si>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</si>
  <si>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</si>
  <si>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</si>
  <si>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</si>
  <si>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</si>
  <si>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</si>
  <si>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</si>
  <si>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</si>
  <si>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</si>
  <si>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</si>
  <si>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</si>
  <si>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</si>
  <si>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</si>
  <si>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</si>
  <si>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</si>
  <si>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</si>
  <si>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</si>
  <si>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</si>
  <si>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</si>
  <si>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</si>
  <si>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</si>
  <si>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</si>
  <si>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</si>
  <si>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</si>
  <si>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</si>
  <si>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</si>
  <si>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</si>
  <si>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</si>
  <si>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</si>
  <si>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</si>
  <si>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</si>
  <si>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</si>
  <si>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</si>
  <si>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</si>
  <si>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</si>
  <si>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</si>
  <si>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</si>
  <si>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</si>
  <si>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</si>
  <si>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</si>
  <si>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</si>
  <si>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</si>
  <si>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</si>
  <si>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</si>
  <si>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</si>
  <si>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</si>
  <si>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</si>
  <si>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</si>
  <si>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</si>
  <si>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</si>
  <si>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</si>
  <si>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</si>
  <si>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</si>
  <si>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</si>
  <si>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</si>
  <si>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</si>
  <si>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</si>
  <si>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</si>
  <si>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</si>
  <si>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</si>
  <si>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</si>
  <si>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</si>
  <si>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</si>
  <si>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</si>
  <si>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</si>
  <si>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</si>
  <si>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</si>
  <si>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</si>
  <si>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</si>
  <si>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</si>
  <si>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</si>
  <si>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</si>
  <si>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</si>
  <si>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</si>
  <si>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</si>
  <si>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</si>
  <si>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</si>
  <si>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</si>
  <si>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</si>
  <si>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</si>
  <si>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</si>
  <si>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</si>
  <si>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</si>
  <si>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</si>
  <si>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</si>
  <si>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</si>
  <si>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</si>
  <si>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</si>
  <si>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</si>
  <si>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</si>
  <si>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</si>
  <si>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</si>
  <si>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</si>
  <si>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</si>
  <si>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</si>
  <si>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</si>
  <si>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</si>
  <si>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</si>
  <si>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</si>
  <si>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</si>
  <si>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</si>
  <si>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</si>
  <si>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</si>
  <si>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</si>
  <si>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</si>
  <si>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</si>
  <si>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</si>
  <si>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</si>
  <si>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</si>
  <si>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</si>
  <si>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</si>
  <si>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</si>
  <si>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</si>
  <si>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</si>
  <si>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</si>
  <si>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</si>
  <si>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</si>
  <si>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</si>
  <si>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</si>
  <si>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</si>
  <si>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</si>
  <si>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</si>
  <si>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</si>
  <si>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</si>
  <si>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</si>
  <si>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</si>
  <si>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</si>
  <si>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</si>
  <si>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</si>
  <si>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</si>
  <si>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</si>
  <si>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</si>
  <si>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</si>
  <si>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</si>
  <si>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</si>
  <si>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</si>
  <si>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</si>
  <si>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</si>
  <si>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</si>
  <si>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</si>
  <si>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</si>
  <si>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</si>
  <si>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</si>
  <si>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</si>
  <si>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</si>
  <si>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</si>
  <si>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</si>
  <si>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</si>
  <si>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</si>
  <si>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</si>
  <si>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</si>
  <si>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</si>
  <si>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</si>
  <si>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</si>
  <si>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</si>
  <si>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</si>
  <si>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</si>
  <si>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</si>
  <si>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</si>
  <si>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</si>
  <si>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</si>
  <si>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</si>
  <si>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</si>
  <si>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</si>
  <si>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</si>
  <si>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</si>
  <si>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</si>
  <si>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</si>
  <si>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</si>
  <si>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</si>
  <si>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</si>
  <si>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</si>
  <si>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</si>
  <si>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</si>
  <si>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</si>
  <si>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</si>
  <si>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</si>
  <si>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</si>
  <si>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</si>
  <si>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</si>
  <si>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</si>
  <si>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</si>
  <si>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</si>
  <si>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</si>
  <si>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</si>
  <si>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</si>
  <si>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</si>
  <si>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</si>
  <si>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</si>
  <si>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</si>
  <si>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</si>
  <si>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</si>
  <si>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</si>
  <si>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</si>
  <si>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</si>
  <si>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</si>
  <si>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</si>
  <si>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</si>
  <si>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</si>
  <si>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</si>
  <si>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</si>
  <si>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</si>
  <si>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</si>
  <si>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</si>
  <si>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</si>
  <si>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</si>
  <si>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</si>
  <si>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</si>
  <si>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</si>
  <si>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</si>
  <si>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</si>
  <si>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</si>
  <si>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</si>
  <si>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</si>
  <si>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</si>
  <si>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</si>
  <si>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</si>
  <si>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</si>
  <si>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</si>
  <si>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</si>
  <si>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</si>
  <si>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</si>
  <si>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</si>
  <si>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</si>
  <si>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</si>
  <si>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</si>
  <si>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</si>
  <si>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</si>
  <si>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</si>
  <si>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</si>
  <si>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</si>
  <si>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</si>
  <si>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</si>
  <si>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</si>
  <si>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</si>
  <si>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</si>
  <si>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</si>
  <si>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</si>
  <si>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</si>
  <si>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</si>
  <si>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</si>
  <si>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</si>
  <si>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</si>
  <si>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</si>
  <si>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</si>
  <si>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</si>
  <si>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</si>
  <si>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</si>
  <si>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</si>
  <si>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</si>
  <si>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</si>
  <si>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</si>
  <si>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</si>
  <si>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</si>
  <si>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</si>
  <si>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</si>
  <si>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</si>
  <si>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</si>
  <si>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</si>
  <si>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</si>
  <si>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</si>
  <si>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</si>
  <si>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</si>
  <si>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</si>
  <si>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</si>
  <si>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</si>
  <si>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</si>
  <si>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</si>
  <si>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</si>
  <si>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</si>
  <si>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</si>
  <si>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</si>
  <si>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</si>
  <si>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</si>
  <si>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</si>
  <si>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</si>
  <si>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</si>
  <si>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</si>
  <si>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</si>
  <si>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</si>
  <si>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</si>
  <si>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</si>
  <si>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</si>
  <si>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</si>
  <si>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</si>
  <si>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</si>
  <si>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</si>
  <si>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</si>
  <si>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</si>
  <si>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</si>
  <si>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</si>
  <si>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</si>
  <si>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</si>
  <si>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</si>
  <si>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</si>
  <si>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</si>
  <si>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</si>
  <si>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</si>
  <si>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</si>
  <si>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</si>
  <si>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</si>
  <si>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</si>
  <si>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</si>
  <si>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</si>
  <si>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</si>
  <si>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</si>
  <si>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</si>
  <si>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</si>
  <si>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</si>
  <si>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</si>
  <si>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</si>
  <si>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</si>
  <si>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</si>
  <si>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</si>
  <si>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</si>
  <si>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</si>
  <si>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</si>
  <si>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</si>
  <si>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</si>
  <si>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</si>
  <si>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</si>
  <si>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</si>
  <si>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</si>
  <si>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</si>
  <si>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</si>
  <si>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</si>
  <si>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</si>
  <si>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</si>
  <si>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</si>
  <si>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</si>
  <si>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</si>
  <si>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</si>
  <si>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</si>
  <si>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</si>
  <si>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</si>
  <si>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</si>
  <si>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</si>
  <si>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</si>
  <si>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</si>
  <si>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</si>
  <si>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</si>
  <si>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</si>
  <si>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</si>
  <si>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</si>
  <si>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</si>
  <si>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</si>
  <si>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</si>
  <si>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</si>
  <si>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</si>
  <si>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</si>
  <si>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</si>
  <si>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</si>
  <si>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</si>
  <si>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</si>
  <si>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</si>
  <si>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</si>
  <si>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</si>
  <si>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</si>
  <si>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</si>
  <si>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</si>
  <si>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</si>
  <si>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</si>
  <si>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</si>
  <si>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</si>
  <si>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</si>
  <si>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</si>
  <si>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</si>
  <si>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</si>
  <si>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</si>
  <si>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</si>
  <si>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</si>
  <si>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</si>
  <si>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</si>
  <si>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</si>
  <si>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</si>
  <si>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</si>
  <si>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</si>
  <si>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</si>
  <si>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</si>
  <si>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</si>
  <si>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</si>
  <si>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</si>
  <si>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</si>
  <si>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</si>
  <si>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</si>
  <si>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</si>
  <si>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</si>
  <si>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</si>
  <si>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</si>
  <si>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</si>
  <si>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</si>
  <si>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</si>
  <si>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</si>
  <si>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</si>
  <si>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</si>
  <si>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</si>
  <si>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</si>
  <si>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</si>
  <si>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</si>
  <si>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</si>
  <si>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</si>
  <si>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</si>
  <si>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</si>
  <si>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</si>
  <si>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</si>
  <si>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</si>
  <si>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</si>
  <si>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</si>
  <si>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</si>
  <si>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</si>
  <si>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</si>
  <si>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</si>
  <si>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</si>
  <si>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</si>
  <si>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</si>
  <si>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</si>
  <si>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</si>
  <si>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</si>
  <si>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</si>
  <si>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</si>
  <si>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</si>
  <si>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</si>
  <si>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</si>
  <si>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</si>
  <si>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</si>
  <si>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</si>
  <si>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</si>
  <si>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</si>
  <si>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</si>
  <si>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</si>
  <si>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</si>
  <si>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</si>
  <si>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</si>
  <si>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</si>
  <si>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</si>
  <si>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</si>
  <si>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</si>
  <si>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</si>
  <si>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</si>
  <si>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</si>
  <si>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</si>
  <si>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</si>
  <si>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</si>
  <si>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</si>
  <si>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</si>
  <si>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</si>
  <si>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</si>
  <si>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</si>
  <si>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</si>
  <si>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</si>
  <si>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</si>
  <si>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</si>
  <si>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</si>
  <si>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</si>
  <si>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</si>
  <si>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</si>
  <si>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</si>
  <si>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</si>
  <si>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</si>
  <si>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</si>
  <si>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</si>
  <si>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</si>
  <si>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</si>
  <si>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</si>
  <si>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</si>
  <si>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</si>
  <si>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</si>
  <si>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</si>
  <si>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</si>
  <si>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</si>
  <si>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</si>
  <si>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</si>
  <si>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</si>
  <si>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</si>
  <si>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</si>
  <si>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</si>
  <si>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</si>
  <si>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</si>
  <si>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</si>
  <si>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</si>
  <si>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</si>
  <si>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</si>
  <si>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</si>
  <si>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</si>
  <si>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</si>
  <si>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</si>
  <si>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</si>
  <si>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</si>
  <si>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</si>
  <si>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</si>
  <si>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</si>
  <si>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</si>
  <si>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</si>
  <si>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</si>
  <si>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</si>
  <si>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</si>
  <si>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</si>
  <si>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</si>
  <si>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</si>
  <si>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</si>
  <si>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</si>
  <si>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</si>
  <si>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</si>
  <si>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</si>
  <si>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</si>
  <si>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</si>
  <si>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</si>
  <si>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</si>
  <si>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</si>
  <si>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</si>
  <si>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</si>
  <si>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</si>
  <si>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</si>
  <si>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</si>
  <si>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</si>
  <si>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</si>
  <si>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</si>
  <si>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</si>
  <si>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</si>
  <si>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</si>
  <si>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</si>
  <si>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</si>
  <si>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</si>
  <si>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</si>
  <si>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</si>
  <si>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</si>
  <si>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</si>
  <si>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</si>
  <si>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</si>
  <si>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</si>
  <si>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</si>
  <si>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</si>
  <si>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</si>
  <si>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</si>
  <si>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</si>
  <si>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</si>
  <si>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</si>
  <si>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</si>
  <si>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</si>
  <si>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</si>
  <si>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</si>
  <si>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</si>
  <si>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</si>
  <si>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</si>
  <si>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</si>
  <si>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</si>
  <si>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</si>
  <si>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</si>
  <si>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</si>
  <si>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</si>
  <si>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</si>
  <si>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</si>
  <si>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</si>
  <si>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</si>
  <si>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</si>
  <si>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</si>
  <si>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</si>
  <si>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</si>
  <si>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</si>
  <si>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</si>
  <si>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</si>
  <si>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</si>
  <si>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</si>
  <si>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</si>
  <si>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</si>
  <si>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</si>
  <si>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</si>
  <si>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</si>
  <si>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</si>
  <si>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</si>
  <si>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</si>
  <si>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</si>
  <si>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</si>
  <si>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</si>
  <si>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</si>
  <si>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</si>
  <si>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</si>
  <si>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</si>
  <si>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</si>
  <si>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</si>
  <si>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</si>
  <si>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</si>
  <si>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</si>
  <si>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</si>
  <si>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</si>
  <si>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</si>
  <si>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</si>
  <si>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</si>
  <si>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</si>
  <si>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</si>
  <si>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</si>
  <si>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</si>
  <si>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</si>
  <si>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</si>
  <si>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</si>
  <si>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</si>
  <si>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</si>
  <si>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</si>
  <si>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</si>
  <si>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</si>
  <si>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</si>
  <si>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</si>
  <si>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</si>
  <si>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</si>
  <si>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</si>
  <si>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</si>
  <si>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</si>
  <si>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</si>
  <si>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</si>
  <si>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</si>
  <si>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</si>
  <si>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</si>
  <si>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</si>
  <si>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</si>
  <si>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</si>
  <si>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</si>
  <si>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</si>
  <si>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</si>
  <si>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</si>
  <si>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</si>
  <si>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</si>
  <si>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</si>
  <si>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</si>
  <si>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</si>
  <si>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</si>
  <si>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</si>
  <si>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</si>
  <si>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</si>
  <si>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</si>
  <si>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</si>
  <si>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</si>
  <si>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</si>
  <si>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</si>
  <si>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</si>
  <si>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</si>
  <si>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</si>
  <si>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</si>
  <si>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</si>
  <si>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</si>
  <si>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</si>
  <si>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</si>
  <si>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</si>
  <si>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</si>
  <si>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</si>
  <si>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</si>
  <si>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</si>
  <si>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</si>
  <si>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</si>
  <si>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</si>
  <si>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</si>
  <si>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</si>
  <si>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</si>
  <si>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</si>
  <si>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</si>
  <si>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</si>
  <si>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</si>
  <si>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</si>
  <si>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</si>
  <si>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</si>
  <si>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</si>
  <si>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</si>
  <si>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</si>
  <si>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</si>
  <si>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</si>
  <si>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</si>
  <si>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</si>
  <si>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</si>
  <si>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</si>
  <si>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</si>
  <si>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</si>
  <si>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</si>
  <si>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</si>
  <si>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</si>
  <si>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</si>
  <si>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</si>
  <si>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</si>
  <si>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</si>
  <si>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</si>
  <si>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</si>
  <si>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</si>
  <si>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</si>
  <si>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</si>
  <si>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</si>
  <si>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</si>
  <si>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</si>
  <si>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</si>
  <si>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</si>
  <si>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</si>
  <si>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</si>
  <si>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</si>
  <si>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</si>
  <si>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</si>
  <si>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</si>
  <si>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</si>
  <si>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</si>
  <si>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</si>
  <si>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</si>
  <si>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</si>
  <si>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</si>
  <si>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</si>
  <si>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</si>
  <si>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</si>
  <si>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</si>
  <si>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</si>
  <si>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</si>
  <si>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</si>
  <si>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</si>
  <si>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</si>
  <si>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</si>
  <si>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</si>
  <si>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</si>
  <si>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</si>
  <si>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</si>
  <si>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</si>
  <si>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</si>
  <si>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</si>
  <si>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</si>
  <si>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</si>
  <si>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</si>
  <si>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</si>
  <si>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</si>
  <si>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</si>
  <si>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</si>
  <si>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</si>
  <si>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</si>
  <si>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</si>
  <si>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</si>
  <si>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</si>
  <si>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</si>
  <si>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</si>
  <si>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</si>
  <si>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</si>
  <si>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</si>
  <si>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</si>
  <si>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</si>
  <si>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</si>
  <si>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</si>
  <si>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</si>
  <si>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</si>
  <si>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</si>
  <si>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</si>
  <si>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</si>
  <si>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</si>
  <si>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</si>
  <si>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</si>
  <si>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</si>
  <si>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</si>
  <si>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</si>
  <si>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</si>
  <si>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</si>
  <si>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</si>
  <si>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</si>
  <si>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</si>
  <si>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</si>
  <si>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</si>
  <si>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</si>
  <si>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</si>
  <si>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</si>
  <si>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</si>
  <si>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</si>
  <si>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</si>
  <si>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</si>
  <si>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</si>
  <si>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</si>
  <si>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</si>
  <si>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</si>
  <si>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</si>
  <si>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</si>
  <si>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</si>
  <si>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</si>
  <si>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</si>
  <si>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</si>
  <si>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</si>
  <si>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</si>
  <si>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</si>
  <si>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</si>
  <si>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</si>
  <si>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</si>
  <si>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</si>
  <si>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</si>
  <si>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</si>
  <si>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</si>
  <si>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</si>
  <si>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</si>
  <si>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</si>
  <si>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</si>
  <si>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</si>
  <si>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</si>
  <si>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</si>
  <si>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</si>
  <si>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</si>
  <si>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</si>
  <si>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</si>
  <si>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</si>
  <si>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</si>
  <si>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</si>
  <si>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</si>
  <si>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</si>
  <si>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</si>
  <si>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</si>
  <si>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</si>
  <si>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</si>
  <si>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</si>
  <si>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</si>
  <si>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</si>
  <si>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</si>
  <si>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</si>
  <si>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</si>
  <si>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</si>
  <si>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</si>
  <si>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</si>
  <si>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</si>
  <si>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</si>
  <si>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</si>
  <si>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</si>
  <si>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</si>
  <si>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</si>
  <si>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</si>
  <si>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</si>
  <si>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</si>
  <si>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</si>
  <si>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</si>
  <si>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</si>
  <si>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</si>
  <si>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</si>
  <si>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</si>
  <si>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</si>
  <si>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</si>
  <si>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</si>
  <si>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</si>
  <si>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</si>
  <si>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</si>
  <si>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</si>
  <si>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</si>
  <si>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</si>
  <si>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</si>
  <si>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</si>
  <si>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</si>
  <si>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</si>
  <si>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</si>
  <si>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</si>
  <si>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</si>
  <si>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</si>
  <si>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</si>
  <si>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</si>
  <si>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</si>
  <si>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</si>
  <si>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</si>
  <si>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</si>
  <si>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</si>
  <si>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</si>
  <si>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</si>
  <si>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</si>
  <si>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</si>
  <si>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</si>
  <si>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</si>
  <si>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</si>
  <si>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</si>
  <si>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</si>
  <si>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</si>
  <si>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</si>
  <si>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</si>
  <si>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</si>
  <si>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</si>
  <si>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</si>
  <si>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</si>
  <si>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</si>
  <si>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</si>
  <si>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</si>
  <si>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</si>
  <si>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</si>
  <si>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</si>
  <si>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</si>
  <si>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</si>
  <si>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</si>
  <si>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</si>
  <si>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</si>
  <si>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</si>
  <si>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</si>
  <si>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</si>
  <si>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</si>
  <si>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</si>
  <si>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</si>
  <si>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</si>
  <si>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</si>
  <si>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</si>
  <si>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</si>
  <si>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</si>
  <si>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</si>
  <si>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</si>
  <si>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</si>
  <si>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</si>
  <si>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</si>
  <si>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</si>
  <si>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</si>
  <si>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</si>
  <si>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</si>
  <si>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</si>
  <si>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</si>
  <si>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</si>
  <si>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</si>
  <si>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</si>
  <si>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</si>
  <si>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</si>
  <si>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</si>
  <si>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</si>
  <si>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</si>
  <si>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</si>
  <si>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</si>
  <si>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</si>
  <si>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</si>
  <si>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</si>
  <si>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</si>
  <si>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</si>
  <si>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</si>
  <si>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</si>
  <si>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</si>
  <si>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</si>
  <si>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</si>
  <si>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</si>
  <si>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</si>
  <si>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</si>
  <si>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</si>
  <si>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</si>
  <si>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</si>
  <si>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</si>
  <si>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</si>
  <si>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</si>
  <si>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</si>
  <si>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</si>
  <si>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</si>
  <si>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</si>
  <si>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</si>
  <si>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</si>
  <si>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</si>
  <si>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</si>
  <si>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</si>
  <si>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</si>
  <si>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</si>
  <si>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</si>
  <si>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</si>
  <si>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</si>
  <si>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</si>
  <si>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</si>
  <si>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</si>
  <si>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</si>
  <si>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</si>
  <si>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</si>
  <si>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</si>
  <si>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</si>
  <si>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</si>
  <si>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</si>
  <si>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</si>
  <si>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</si>
  <si>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</si>
  <si>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</si>
  <si>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</si>
  <si>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</si>
  <si>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</si>
  <si>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</si>
  <si>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</si>
  <si>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</si>
  <si>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</si>
  <si>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</si>
  <si>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</si>
  <si>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</si>
  <si>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</si>
  <si>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</si>
  <si>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</si>
  <si>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</si>
  <si>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</si>
  <si>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</si>
  <si>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</si>
  <si>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</si>
  <si>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</si>
  <si>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</si>
  <si>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</si>
  <si>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</si>
  <si>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</si>
  <si>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</si>
  <si>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</si>
  <si>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</si>
  <si>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</si>
  <si>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</si>
  <si>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</si>
  <si>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</si>
  <si>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</si>
  <si>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</si>
  <si>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</si>
  <si>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</si>
  <si>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</si>
  <si>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</si>
  <si>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</si>
  <si>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</si>
  <si>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</si>
  <si>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</si>
  <si>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</si>
  <si>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</si>
  <si>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</si>
  <si>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</si>
  <si>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</si>
  <si>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</si>
  <si>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</si>
  <si>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</si>
  <si>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</si>
  <si>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</si>
  <si>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</si>
  <si>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</si>
  <si>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</si>
  <si>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</si>
  <si>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</si>
  <si>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</si>
  <si>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</si>
  <si>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</si>
  <si>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</si>
  <si>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</si>
  <si>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</si>
  <si>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</si>
  <si>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</si>
  <si>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</si>
  <si>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</si>
  <si>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</si>
  <si>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</si>
  <si>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</si>
  <si>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</si>
  <si>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</si>
  <si>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</si>
  <si>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</si>
  <si>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</si>
  <si>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</si>
  <si>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</si>
  <si>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</si>
  <si>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</si>
  <si>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</si>
  <si>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</si>
  <si>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</si>
  <si>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</si>
  <si>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</si>
  <si>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</si>
  <si>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</si>
  <si>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</si>
  <si>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</si>
  <si>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</si>
  <si>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</si>
  <si>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</si>
  <si>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</si>
  <si>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</si>
  <si>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</si>
  <si>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</si>
  <si>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</si>
  <si>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</si>
  <si>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</si>
  <si>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</si>
  <si>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</si>
  <si>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</si>
  <si>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</si>
  <si>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</si>
  <si>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</si>
  <si>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</si>
  <si>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</si>
  <si>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</si>
  <si>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</si>
  <si>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</si>
  <si>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</si>
  <si>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</si>
  <si>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</si>
  <si>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</si>
  <si>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</si>
  <si>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</si>
  <si>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</si>
  <si>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</si>
  <si>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</si>
  <si>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</si>
  <si>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</si>
  <si>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</si>
  <si>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</si>
  <si>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</si>
  <si>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</si>
  <si>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</si>
  <si>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</si>
  <si>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</si>
  <si>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</si>
  <si>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</si>
  <si>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</si>
  <si>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</si>
  <si>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</si>
  <si>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</si>
  <si>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</si>
  <si>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</si>
  <si>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</si>
  <si>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</si>
  <si>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</si>
  <si>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</si>
  <si>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</si>
  <si>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</si>
  <si>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</si>
  <si>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</si>
  <si>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</si>
  <si>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</si>
  <si>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</si>
  <si>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</si>
  <si>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</si>
  <si>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</si>
  <si>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</si>
  <si>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</si>
  <si>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</si>
  <si>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</si>
  <si>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</si>
  <si>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</si>
  <si>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</si>
  <si>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</si>
  <si>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</si>
  <si>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</si>
  <si>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</si>
  <si>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</si>
  <si>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</si>
  <si>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</si>
  <si>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</si>
  <si>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</si>
  <si>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</si>
  <si>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</si>
  <si>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</si>
  <si>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</si>
  <si>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</si>
  <si>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</si>
  <si>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</si>
  <si>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</si>
  <si>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</si>
  <si>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</si>
  <si>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</si>
  <si>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</si>
  <si>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</si>
  <si>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</si>
  <si>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</si>
  <si>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</si>
  <si>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</si>
  <si>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</si>
  <si>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</si>
  <si>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</si>
  <si>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</si>
  <si>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</si>
  <si>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</si>
  <si>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</si>
  <si>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</si>
  <si>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</si>
  <si>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</si>
  <si>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</si>
  <si>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</si>
  <si>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</si>
  <si>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</si>
  <si>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</si>
  <si>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</si>
  <si>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</si>
  <si>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</si>
  <si>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</si>
  <si>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</si>
  <si>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</si>
  <si>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</si>
  <si>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</si>
  <si>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</si>
  <si>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</si>
  <si>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</si>
  <si>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</si>
  <si>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</si>
  <si>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</si>
  <si>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</si>
  <si>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</si>
  <si>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</si>
  <si>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</si>
  <si>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</si>
  <si>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</si>
  <si>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</si>
  <si>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</si>
  <si>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</si>
  <si>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</si>
  <si>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</si>
  <si>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ended converted</t>
  </si>
  <si>
    <t>date created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</si>
  <si>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</si>
  <si>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</si>
  <si>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</si>
  <si>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</si>
  <si>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</si>
  <si>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</si>
  <si>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</si>
  <si>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</si>
  <si>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</si>
  <si>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</si>
  <si>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</si>
  <si>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</si>
  <si>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</si>
  <si>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</si>
  <si>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</si>
  <si>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</si>
  <si>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</si>
  <si>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</si>
  <si>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</si>
  <si>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</si>
  <si>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</si>
  <si>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</si>
  <si>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</si>
  <si>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</si>
  <si>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</si>
  <si>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</si>
  <si>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</si>
  <si>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</si>
  <si>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</si>
  <si>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</si>
  <si>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</si>
  <si>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</si>
  <si>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50000</t>
  </si>
  <si>
    <t>&lt;5000</t>
  </si>
  <si>
    <t>5000-10000</t>
  </si>
  <si>
    <t>10000-15000</t>
  </si>
  <si>
    <t>15000-20000</t>
  </si>
  <si>
    <t>20000-25000</t>
  </si>
  <si>
    <t>25000-30000</t>
  </si>
  <si>
    <t>30000-35000</t>
  </si>
  <si>
    <t>35000-40000</t>
  </si>
  <si>
    <t>40000-45000</t>
  </si>
  <si>
    <t>45000-50000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</si>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</sst>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10" fontId="0" fillId="0" borderId="0" xfId="2" applyNumberFormat="1" applyFont="1"/>
    <xf numFmtId="44" fontId="0" fillId="0" borderId="0" xfId="0" applyNumberFormat="1" applyAlignment="1">
      <alignment horizontal="left"/>
    </xf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badi" panose="020B0604020104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badi" panose="020B0604020104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badi" panose="020B0604020104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badi" panose="020B0604020104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badi" panose="020B0604020104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C-4A5C-B309-E570157767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C-4A5C-B309-E570157767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C-4A5C-B309-E57015776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483616"/>
        <c:axId val="423482632"/>
      </c:lineChart>
      <c:catAx>
        <c:axId val="4234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badi" panose="020B0604020104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3482632"/>
        <c:crosses val="autoZero"/>
        <c:auto val="1"/>
        <c:lblAlgn val="ctr"/>
        <c:lblOffset val="100"/>
        <c:noMultiLvlLbl val="0"/>
      </c:catAx>
      <c:valAx>
        <c:axId val="42348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badi" panose="020B0604020104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34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23578302712161"/>
          <c:y val="0.44576662292213476"/>
          <c:w val="0.19009755030621173"/>
          <c:h val="0.246730825313502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badi" panose="020B0604020104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badi" panose="020B0604020104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/>
              <a:t>Play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A-40FD-942D-E2DECAC9383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A-40FD-942D-E2DECAC9383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A-40FD-942D-E2DECAC93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751544"/>
        <c:axId val="534995616"/>
      </c:lineChart>
      <c:catAx>
        <c:axId val="54075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534995616"/>
        <c:crosses val="autoZero"/>
        <c:auto val="1"/>
        <c:lblAlgn val="ctr"/>
        <c:lblOffset val="100"/>
        <c:noMultiLvlLbl val="0"/>
      </c:catAx>
      <c:valAx>
        <c:axId val="53499561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54075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badi" panose="020B06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</xdr:colOff>
      <xdr:row>18</xdr:row>
      <xdr:rowOff>176212</xdr:rowOff>
    </xdr:from>
    <xdr:to>
      <xdr:col>5</xdr:col>
      <xdr:colOff>671512</xdr:colOff>
      <xdr:row>33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082CD-843A-4207-BE26-B44AA2A85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15</xdr:row>
      <xdr:rowOff>23811</xdr:rowOff>
    </xdr:from>
    <xdr:to>
      <xdr:col>7</xdr:col>
      <xdr:colOff>438150</xdr:colOff>
      <xdr:row>34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CAB72A-439A-4640-BD85-5FE109D06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yssa Sibal" refreshedDate="44091.888378009258" createdVersion="6" refreshedVersion="6" minRefreshableVersion="3" recordCount="4114" xr:uid="{6455DCF9-3986-484C-8A31-8C73E0072DF0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5000" endNum="50000" groupInterval="5000"/>
        <groupItems count="11">
          <s v="&lt;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&gt;50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44F14-F8D1-4061-BDA1-AC6EAF9D60D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97FE3-18C3-4468-83D6-630B44BE42C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N16" firstHeaderRow="1" firstDataRow="2" firstDataCol="1" rowPageCount="1" colPageCount="1"/>
  <pivotFields count="23">
    <pivotField showAll="0"/>
    <pivotField showAll="0"/>
    <pivotField showAll="0"/>
    <pivotField axis="axisRow" numFmtId="4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7" item="2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33725-70C4-4E4D-A7CC-5BB32445B1B2}">
  <dimension ref="A1:E18"/>
  <sheetViews>
    <sheetView workbookViewId="0">
      <selection activeCell="A38" sqref="A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8359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D8493-7F53-4F0A-B7AA-7D9A2F980069}">
  <dimension ref="A1:N16"/>
  <sheetViews>
    <sheetView tabSelected="1" workbookViewId="0">
      <selection activeCell="J24" sqref="J24"/>
    </sheetView>
  </sheetViews>
  <sheetFormatPr defaultRowHeight="15" x14ac:dyDescent="0.25"/>
  <cols>
    <col min="1" max="1" width="17.85546875" bestFit="1" customWidth="1"/>
    <col min="2" max="2" width="10.140625" bestFit="1" customWidth="1"/>
    <col min="3" max="3" width="8.28515625" bestFit="1" customWidth="1"/>
    <col min="4" max="4" width="9.140625" bestFit="1" customWidth="1"/>
    <col min="5" max="5" width="8.140625" bestFit="1" customWidth="1"/>
    <col min="6" max="6" width="11" customWidth="1"/>
    <col min="7" max="7" width="11.42578125" customWidth="1"/>
    <col min="8" max="8" width="11" bestFit="1" customWidth="1"/>
    <col min="10" max="10" width="18" bestFit="1" customWidth="1"/>
    <col min="11" max="11" width="16.28515625" bestFit="1" customWidth="1"/>
    <col min="12" max="12" width="4.28515625" bestFit="1" customWidth="1"/>
    <col min="13" max="13" width="6.140625" bestFit="1" customWidth="1"/>
    <col min="14" max="15" width="11.28515625" bestFit="1" customWidth="1"/>
  </cols>
  <sheetData>
    <row r="1" spans="1:14" ht="32.25" customHeight="1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7"/>
      <c r="J1" s="13" t="s">
        <v>8358</v>
      </c>
      <c r="K1" t="s">
        <v>8316</v>
      </c>
    </row>
    <row r="2" spans="1:14" x14ac:dyDescent="0.25">
      <c r="A2" t="s">
        <v>8388</v>
      </c>
      <c r="B2">
        <f>COUNTIFS('Kickstarter Data'!$D:$D, "&lt;1000", 'Kickstarter Data'!$F:$F, "successful",'Kickstarter Data'!$R:$R, "plays")</f>
        <v>141</v>
      </c>
      <c r="C2">
        <f>COUNTIFS('Kickstarter Data'!$D:$D, "&lt;1000", 'Kickstarter Data'!$F:$F, "failed", 'Kickstarter Data'!$R:$R, "plays")</f>
        <v>45</v>
      </c>
      <c r="D2">
        <f>COUNTIFS('Kickstarter Data'!$D:$D, "&lt;1000", 'Kickstarter Data'!$F:$F, "canceled", 'Kickstarter Data'!$R:$R, "plays")</f>
        <v>0</v>
      </c>
      <c r="E2">
        <f>SUM(B2:D2)</f>
        <v>186</v>
      </c>
      <c r="F2" s="18">
        <f t="shared" ref="F2:H3" si="0">B2/$E2</f>
        <v>0.75806451612903225</v>
      </c>
      <c r="G2" s="18">
        <f t="shared" si="0"/>
        <v>0.24193548387096775</v>
      </c>
      <c r="H2" s="18">
        <f t="shared" si="0"/>
        <v>0</v>
      </c>
      <c r="I2" s="20">
        <f>SUM(F2:H2)</f>
        <v>1</v>
      </c>
    </row>
    <row r="3" spans="1:14" x14ac:dyDescent="0.25">
      <c r="A3" t="s">
        <v>8389</v>
      </c>
      <c r="B3">
        <f>COUNTIFS('Kickstarter Data'!$D:$D, "&gt;=1000", 'Kickstarter Data'!$D:$D, "&lt;=4999", 'Kickstarter Data'!$F:$F, "successful", 'Kickstarter Data'!$R:$R, "plays")</f>
        <v>388</v>
      </c>
      <c r="C3">
        <f>COUNTIFS('Kickstarter Data'!$D:$D, "&gt;=1000", 'Kickstarter Data'!$D:$D, "&lt;=4999", 'Kickstarter Data'!$F:$F, "failed", 'Kickstarter Data'!$R:$R, "plays")</f>
        <v>146</v>
      </c>
      <c r="D3">
        <f>COUNTIFS('Kickstarter Data'!$D:$D, "&gt;=1000", 'Kickstarter Data'!$D:$D, "&lt;=4999", 'Kickstarter Data'!$F:$F, "canceled", 'Kickstarter Data'!$R:$R, "plays")</f>
        <v>0</v>
      </c>
      <c r="E3">
        <f t="shared" ref="E3:E13" si="1">SUM(B3:D3)</f>
        <v>534</v>
      </c>
      <c r="F3" s="18">
        <f t="shared" si="0"/>
        <v>0.72659176029962547</v>
      </c>
      <c r="G3" s="18">
        <f t="shared" si="0"/>
        <v>0.27340823970037453</v>
      </c>
      <c r="H3" s="18">
        <f t="shared" si="0"/>
        <v>0</v>
      </c>
      <c r="I3" s="20">
        <f t="shared" ref="I3:I13" si="2">SUM(F3:H3)</f>
        <v>1</v>
      </c>
      <c r="J3" s="13" t="s">
        <v>8363</v>
      </c>
      <c r="K3" s="13" t="s">
        <v>8362</v>
      </c>
    </row>
    <row r="4" spans="1:14" x14ac:dyDescent="0.25">
      <c r="A4" t="s">
        <v>8390</v>
      </c>
      <c r="B4">
        <f>COUNTIFS('Kickstarter Data'!$D:$D, "&gt;=5000", 'Kickstarter Data'!$D:$D, "&lt;=9999", 'Kickstarter Data'!$F:$F,"successful", 'Kickstarter Data'!$R:$R, "plays")</f>
        <v>93</v>
      </c>
      <c r="C4">
        <f>COUNTIFS('Kickstarter Data'!$D:$D, "&gt;=5000", 'Kickstarter Data'!$D:$D, "&lt;=9999", 'Kickstarter Data'!$F:$F,"failed", 'Kickstarter Data'!$R:$R, "plays")</f>
        <v>76</v>
      </c>
      <c r="D4">
        <f>COUNTIFS('Kickstarter Data'!$D:$D, "&gt;=5000", 'Kickstarter Data'!$D:$D, "&lt;=9999", 'Kickstarter Data'!$F:$F,"canceled", 'Kickstarter Data'!$R:$R, "plays")</f>
        <v>0</v>
      </c>
      <c r="E4">
        <f t="shared" si="1"/>
        <v>169</v>
      </c>
      <c r="F4" s="18">
        <f t="shared" ref="F4:F13" si="3">B4/$E4</f>
        <v>0.55029585798816572</v>
      </c>
      <c r="G4" s="18">
        <f t="shared" ref="G4:G13" si="4">C4/$E4</f>
        <v>0.44970414201183434</v>
      </c>
      <c r="H4" s="18">
        <f t="shared" ref="H4:H13" si="5">D4/$E4</f>
        <v>0</v>
      </c>
      <c r="I4" s="20">
        <f t="shared" si="2"/>
        <v>1</v>
      </c>
      <c r="J4" s="13" t="s">
        <v>8360</v>
      </c>
      <c r="K4" t="s">
        <v>8218</v>
      </c>
      <c r="L4" t="s">
        <v>8221</v>
      </c>
      <c r="M4" t="s">
        <v>8220</v>
      </c>
      <c r="N4" t="s">
        <v>8361</v>
      </c>
    </row>
    <row r="5" spans="1:14" x14ac:dyDescent="0.25">
      <c r="A5" t="s">
        <v>8391</v>
      </c>
      <c r="B5">
        <f>COUNTIFS('Kickstarter Data'!$D:$D, "&gt;=10000", 'Kickstarter Data'!$D:$D, "&lt;=14999", 'Kickstarter Data'!$F:$F, "successful", 'Kickstarter Data'!$R:$R, "plays")</f>
        <v>39</v>
      </c>
      <c r="C5">
        <f>COUNTIFS('Kickstarter Data'!$D:$D, "&gt;=10000", 'Kickstarter Data'!$D:$D, "&lt;=14999", 'Kickstarter Data'!$F:$F, "failed", 'Kickstarter Data'!$R:$R, "plays")</f>
        <v>33</v>
      </c>
      <c r="D5">
        <f>COUNTIFS('Kickstarter Data'!$D:$D, "&gt;=10000", 'Kickstarter Data'!$D:$D, "&lt;=14999", 'Kickstarter Data'!$F:$F, "canceled", 'Kickstarter Data'!$R:$R, "plays")</f>
        <v>0</v>
      </c>
      <c r="E5">
        <f t="shared" si="1"/>
        <v>72</v>
      </c>
      <c r="F5" s="18">
        <f t="shared" si="3"/>
        <v>0.54166666666666663</v>
      </c>
      <c r="G5" s="18">
        <f t="shared" si="4"/>
        <v>0.45833333333333331</v>
      </c>
      <c r="H5" s="18">
        <f t="shared" si="5"/>
        <v>0</v>
      </c>
      <c r="I5" s="20">
        <f t="shared" si="2"/>
        <v>1</v>
      </c>
      <c r="J5" s="19" t="s">
        <v>8400</v>
      </c>
      <c r="K5" s="14">
        <v>529</v>
      </c>
      <c r="L5" s="14">
        <v>11</v>
      </c>
      <c r="M5" s="14">
        <v>191</v>
      </c>
      <c r="N5" s="14">
        <v>731</v>
      </c>
    </row>
    <row r="6" spans="1:14" x14ac:dyDescent="0.25">
      <c r="A6" t="s">
        <v>8392</v>
      </c>
      <c r="B6">
        <f>COUNTIFS('Kickstarter Data'!$D:$D, "&gt;=15000", 'Kickstarter Data'!$D:$D, "&lt;=19999", 'Kickstarter Data'!$F:$F, "successful", 'Kickstarter Data'!$R:$R, "plays")</f>
        <v>12</v>
      </c>
      <c r="C6">
        <f>COUNTIFS('Kickstarter Data'!$D:$D, "&gt;=15000", 'Kickstarter Data'!$D:$D, "&lt;=19999", 'Kickstarter Data'!$F:$F, "failed", 'Kickstarter Data'!$R:$R, "plays")</f>
        <v>12</v>
      </c>
      <c r="D6">
        <f>COUNTIFS('Kickstarter Data'!$D:$D, "&gt;=15000", 'Kickstarter Data'!$D:$D, "&lt;=19999", 'Kickstarter Data'!$F:$F, "canceled", 'Kickstarter Data'!$R:$R, "plays")</f>
        <v>0</v>
      </c>
      <c r="E6">
        <f t="shared" si="1"/>
        <v>24</v>
      </c>
      <c r="F6" s="18">
        <f t="shared" si="3"/>
        <v>0.5</v>
      </c>
      <c r="G6" s="18">
        <f t="shared" si="4"/>
        <v>0.5</v>
      </c>
      <c r="H6" s="18">
        <f t="shared" si="5"/>
        <v>0</v>
      </c>
      <c r="I6" s="20">
        <f t="shared" si="2"/>
        <v>1</v>
      </c>
      <c r="J6" s="19" t="s">
        <v>8401</v>
      </c>
      <c r="K6" s="14">
        <v>93</v>
      </c>
      <c r="L6" s="14"/>
      <c r="M6" s="14">
        <v>76</v>
      </c>
      <c r="N6" s="14">
        <v>169</v>
      </c>
    </row>
    <row r="7" spans="1:14" x14ac:dyDescent="0.25">
      <c r="A7" t="s">
        <v>8393</v>
      </c>
      <c r="B7">
        <f>COUNTIFS('Kickstarter Data'!$D:$D, "&gt;=20000", 'Kickstarter Data'!$D:$D, "&lt;=24999", 'Kickstarter Data'!$F:$F, "successful", 'Kickstarter Data'!$R:$R, "plays")</f>
        <v>9</v>
      </c>
      <c r="C7">
        <f>COUNTIFS('Kickstarter Data'!$D:$D, "&gt;=20000", 'Kickstarter Data'!$D:$D, "&lt;=24999", 'Kickstarter Data'!$F:$F, "failed", 'Kickstarter Data'!$R:$R, "plays")</f>
        <v>11</v>
      </c>
      <c r="D7">
        <f>COUNTIFS('Kickstarter Data'!$D:$D, "&gt;=20000", 'Kickstarter Data'!$D:$D, "&lt;=24999", 'Kickstarter Data'!$F:$F, "canceled", 'Kickstarter Data'!$R:$R, "plays")</f>
        <v>0</v>
      </c>
      <c r="E7">
        <f t="shared" si="1"/>
        <v>20</v>
      </c>
      <c r="F7" s="18">
        <f t="shared" si="3"/>
        <v>0.45</v>
      </c>
      <c r="G7" s="18">
        <f t="shared" si="4"/>
        <v>0.55000000000000004</v>
      </c>
      <c r="H7" s="18">
        <f t="shared" si="5"/>
        <v>0</v>
      </c>
      <c r="I7" s="20">
        <f t="shared" si="2"/>
        <v>1</v>
      </c>
      <c r="J7" s="19" t="s">
        <v>8402</v>
      </c>
      <c r="K7" s="14">
        <v>39</v>
      </c>
      <c r="L7" s="14">
        <v>3</v>
      </c>
      <c r="M7" s="14">
        <v>33</v>
      </c>
      <c r="N7" s="14">
        <v>75</v>
      </c>
    </row>
    <row r="8" spans="1:14" x14ac:dyDescent="0.25">
      <c r="A8" t="s">
        <v>8394</v>
      </c>
      <c r="B8">
        <f>COUNTIFS('Kickstarter Data'!$D:$D, "&gt;=25000", 'Kickstarter Data'!$D:$D, "&lt;=29999", 'Kickstarter Data'!$F:$F, "successful", 'Kickstarter Data'!$R:$R, "plays")</f>
        <v>1</v>
      </c>
      <c r="C8">
        <f>COUNTIFS('Kickstarter Data'!$D:$D, "&gt;=25000", 'Kickstarter Data'!$D:$D, "&lt;=29999", 'Kickstarter Data'!$F:$F, "failed", 'Kickstarter Data'!$R:$R, "plays")</f>
        <v>4</v>
      </c>
      <c r="D8">
        <f>COUNTIFS('Kickstarter Data'!$D:$D, "&gt;=25000", 'Kickstarter Data'!$D:$D, "&lt;=29999", 'Kickstarter Data'!$F:$F, "canceled", 'Kickstarter Data'!$R:$R, "plays")</f>
        <v>0</v>
      </c>
      <c r="E8">
        <f t="shared" si="1"/>
        <v>5</v>
      </c>
      <c r="F8" s="18">
        <f>B8/$E8</f>
        <v>0.2</v>
      </c>
      <c r="G8" s="18">
        <f>C8/$E8</f>
        <v>0.8</v>
      </c>
      <c r="H8" s="18">
        <f>D8/$E8</f>
        <v>0</v>
      </c>
      <c r="I8" s="20">
        <f t="shared" si="2"/>
        <v>1</v>
      </c>
      <c r="J8" s="19" t="s">
        <v>8403</v>
      </c>
      <c r="K8" s="14">
        <v>12</v>
      </c>
      <c r="L8" s="14">
        <v>1</v>
      </c>
      <c r="M8" s="14">
        <v>12</v>
      </c>
      <c r="N8" s="14">
        <v>25</v>
      </c>
    </row>
    <row r="9" spans="1:14" x14ac:dyDescent="0.25">
      <c r="A9" t="s">
        <v>8395</v>
      </c>
      <c r="B9">
        <f>COUNTIFS('Kickstarter Data'!$D:$D, "&gt;=30000", 'Kickstarter Data'!$D:$D, "&lt;=34999", 'Kickstarter Data'!$F:$F, "successful", 'Kickstarter Data'!$R:$R, "plays")</f>
        <v>3</v>
      </c>
      <c r="C9">
        <f>COUNTIFS('Kickstarter Data'!$D:$D, "&gt;=30000", 'Kickstarter Data'!$D:$D, "&lt;=34999", 'Kickstarter Data'!$F:$F, "failed", 'Kickstarter Data'!$R:$R, "plays")</f>
        <v>8</v>
      </c>
      <c r="D9">
        <f>COUNTIFS('Kickstarter Data'!$D:$D, "&gt;=30000", 'Kickstarter Data'!$D:$D, "&lt;=34999", 'Kickstarter Data'!$F:$F, "canceled", 'Kickstarter Data'!$R:$R, "plays")</f>
        <v>0</v>
      </c>
      <c r="E9">
        <f t="shared" si="1"/>
        <v>11</v>
      </c>
      <c r="F9" s="18">
        <f t="shared" si="3"/>
        <v>0.27272727272727271</v>
      </c>
      <c r="G9" s="18">
        <f t="shared" si="4"/>
        <v>0.72727272727272729</v>
      </c>
      <c r="H9" s="18">
        <f t="shared" si="5"/>
        <v>0</v>
      </c>
      <c r="I9" s="20">
        <f t="shared" si="2"/>
        <v>1</v>
      </c>
      <c r="J9" s="19" t="s">
        <v>8404</v>
      </c>
      <c r="K9" s="14">
        <v>9</v>
      </c>
      <c r="L9" s="14"/>
      <c r="M9" s="14">
        <v>11</v>
      </c>
      <c r="N9" s="14">
        <v>20</v>
      </c>
    </row>
    <row r="10" spans="1:14" x14ac:dyDescent="0.25">
      <c r="A10" t="s">
        <v>8396</v>
      </c>
      <c r="B10">
        <f>COUNTIFS('Kickstarter Data'!$D:$D, "&gt;=35000", 'Kickstarter Data'!$D:$D, "&lt;=39999", 'Kickstarter Data'!$F:$F, "successful", 'Kickstarter Data'!$R:$R, "plays")</f>
        <v>4</v>
      </c>
      <c r="C10">
        <f>COUNTIFS('Kickstarter Data'!$D:$D, "&gt;=35000", 'Kickstarter Data'!$D:$D, "&lt;=39999", 'Kickstarter Data'!$F:$F, "failed", 'Kickstarter Data'!$R:$R, "plays")</f>
        <v>2</v>
      </c>
      <c r="D10">
        <f>COUNTIFS('Kickstarter Data'!$D:$D, "&gt;=35000", 'Kickstarter Data'!$D:$D, "&lt;=39999", 'Kickstarter Data'!$F:$F, "canceled", 'Kickstarter Data'!$R:$R, "plays")</f>
        <v>0</v>
      </c>
      <c r="E10">
        <f t="shared" si="1"/>
        <v>6</v>
      </c>
      <c r="F10" s="18">
        <f t="shared" si="3"/>
        <v>0.66666666666666663</v>
      </c>
      <c r="G10" s="18">
        <f t="shared" si="4"/>
        <v>0.33333333333333331</v>
      </c>
      <c r="H10" s="18">
        <f t="shared" si="5"/>
        <v>0</v>
      </c>
      <c r="I10" s="20">
        <f t="shared" si="2"/>
        <v>1</v>
      </c>
      <c r="J10" s="19" t="s">
        <v>8405</v>
      </c>
      <c r="K10" s="14">
        <v>1</v>
      </c>
      <c r="L10" s="14">
        <v>1</v>
      </c>
      <c r="M10" s="14">
        <v>4</v>
      </c>
      <c r="N10" s="14">
        <v>6</v>
      </c>
    </row>
    <row r="11" spans="1:14" x14ac:dyDescent="0.25">
      <c r="A11" t="s">
        <v>8397</v>
      </c>
      <c r="B11">
        <f>COUNTIFS('Kickstarter Data'!$D:$D, "&gt;=40000", 'Kickstarter Data'!$D:$D, "&lt;=44999", 'Kickstarter Data'!$F:$F, "successful", 'Kickstarter Data'!$R:$R, "plays")</f>
        <v>2</v>
      </c>
      <c r="C11">
        <f>COUNTIFS('Kickstarter Data'!$D:$D, "&gt;=40000", 'Kickstarter Data'!$D:$D, "&lt;=44999", 'Kickstarter Data'!$F:$F, "failed", 'Kickstarter Data'!$R:$R, "plays")</f>
        <v>1</v>
      </c>
      <c r="D11">
        <f>COUNTIFS('Kickstarter Data'!$D:$D, "&gt;=40000", 'Kickstarter Data'!$D:$D, "&lt;=44999", 'Kickstarter Data'!$F:$F, "canceled", 'Kickstarter Data'!$R:$R, "plays")</f>
        <v>0</v>
      </c>
      <c r="E11">
        <f t="shared" si="1"/>
        <v>3</v>
      </c>
      <c r="F11" s="18">
        <f t="shared" si="3"/>
        <v>0.66666666666666663</v>
      </c>
      <c r="G11" s="18">
        <f t="shared" si="4"/>
        <v>0.33333333333333331</v>
      </c>
      <c r="H11" s="18">
        <f t="shared" si="5"/>
        <v>0</v>
      </c>
      <c r="I11" s="20">
        <f t="shared" si="2"/>
        <v>1</v>
      </c>
      <c r="J11" s="19" t="s">
        <v>8406</v>
      </c>
      <c r="K11" s="14">
        <v>3</v>
      </c>
      <c r="L11" s="14">
        <v>1</v>
      </c>
      <c r="M11" s="14">
        <v>8</v>
      </c>
      <c r="N11" s="14">
        <v>12</v>
      </c>
    </row>
    <row r="12" spans="1:14" x14ac:dyDescent="0.25">
      <c r="A12" t="s">
        <v>8399</v>
      </c>
      <c r="B12">
        <f>COUNTIFS('Kickstarter Data'!$D:$D, "&gt;=45000", 'Kickstarter Data'!$D:$D, "&lt;=50000", 'Kickstarter Data'!$F:$F, "successful", 'Kickstarter Data'!$R:$R, "plays")</f>
        <v>0</v>
      </c>
      <c r="C12">
        <f>COUNTIFS('Kickstarter Data'!$D:$D, "&gt;=45000", 'Kickstarter Data'!$D:$D, "&lt;=50000", 'Kickstarter Data'!$F:$F, "failed", 'Kickstarter Data'!$R:$R, "plays")</f>
        <v>5</v>
      </c>
      <c r="D12">
        <f>COUNTIFS('Kickstarter Data'!$D:$D, "&gt;=45000", 'Kickstarter Data'!$D:$D, "&lt;=50000", 'Kickstarter Data'!$F:$F, "canceled", 'Kickstarter Data'!$R:$R, "plays")</f>
        <v>0</v>
      </c>
      <c r="E12">
        <f t="shared" si="1"/>
        <v>5</v>
      </c>
      <c r="F12" s="18">
        <f t="shared" si="3"/>
        <v>0</v>
      </c>
      <c r="G12" s="18">
        <f t="shared" si="4"/>
        <v>1</v>
      </c>
      <c r="H12" s="18">
        <f t="shared" si="5"/>
        <v>0</v>
      </c>
      <c r="I12" s="20">
        <f t="shared" si="2"/>
        <v>1</v>
      </c>
      <c r="J12" s="19" t="s">
        <v>8407</v>
      </c>
      <c r="K12" s="14">
        <v>4</v>
      </c>
      <c r="L12" s="14"/>
      <c r="M12" s="14">
        <v>2</v>
      </c>
      <c r="N12" s="14">
        <v>6</v>
      </c>
    </row>
    <row r="13" spans="1:14" x14ac:dyDescent="0.25">
      <c r="A13" t="s">
        <v>8398</v>
      </c>
      <c r="B13">
        <f>COUNTIFS('Kickstarter Data'!$D:$D, "&gt;50000", 'Kickstarter Data'!$F:$F, "successful", 'Kickstarter Data'!$R:$R, "plays")</f>
        <v>2</v>
      </c>
      <c r="C13">
        <f>COUNTIFS('Kickstarter Data'!$D:$D, "&gt;50000", 'Kickstarter Data'!$F:$F, "failed", 'Kickstarter Data'!$R:$R, "plays")</f>
        <v>10</v>
      </c>
      <c r="D13">
        <f>COUNTIFS('Kickstarter Data'!$D:$D, "&gt;50000", 'Kickstarter Data'!$F:$F, "canceled", 'Kickstarter Data'!$R:$R, "plays")</f>
        <v>0</v>
      </c>
      <c r="E13">
        <f t="shared" si="1"/>
        <v>12</v>
      </c>
      <c r="F13" s="18">
        <f t="shared" si="3"/>
        <v>0.16666666666666666</v>
      </c>
      <c r="G13" s="18">
        <f t="shared" si="4"/>
        <v>0.83333333333333337</v>
      </c>
      <c r="H13" s="18">
        <f t="shared" si="5"/>
        <v>0</v>
      </c>
      <c r="I13" s="20">
        <f t="shared" si="2"/>
        <v>1</v>
      </c>
      <c r="J13" s="19" t="s">
        <v>8408</v>
      </c>
      <c r="K13" s="14">
        <v>2</v>
      </c>
      <c r="L13" s="14"/>
      <c r="M13" s="14">
        <v>1</v>
      </c>
      <c r="N13" s="14">
        <v>3</v>
      </c>
    </row>
    <row r="14" spans="1:14" x14ac:dyDescent="0.25">
      <c r="E14">
        <f>SUM(E2:E13)</f>
        <v>1047</v>
      </c>
      <c r="F14" s="18"/>
      <c r="J14" s="19" t="s">
        <v>8409</v>
      </c>
      <c r="K14" s="14"/>
      <c r="L14" s="14">
        <v>2</v>
      </c>
      <c r="M14" s="14">
        <v>5</v>
      </c>
      <c r="N14" s="14">
        <v>7</v>
      </c>
    </row>
    <row r="15" spans="1:14" x14ac:dyDescent="0.25">
      <c r="J15" s="19" t="s">
        <v>8410</v>
      </c>
      <c r="K15" s="14">
        <v>2</v>
      </c>
      <c r="L15" s="14"/>
      <c r="M15" s="14">
        <v>10</v>
      </c>
      <c r="N15" s="14">
        <v>12</v>
      </c>
    </row>
    <row r="16" spans="1:14" x14ac:dyDescent="0.25">
      <c r="J16" s="19" t="s">
        <v>8361</v>
      </c>
      <c r="K16" s="14">
        <v>694</v>
      </c>
      <c r="L16" s="14">
        <v>19</v>
      </c>
      <c r="M16" s="14">
        <v>353</v>
      </c>
      <c r="N16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Q3017" activePane="bottomRight" state="frozen"/>
      <selection pane="topRight" activeCell="D1" sqref="D1"/>
      <selection pane="bottomLeft" activeCell="A2" sqref="A2"/>
      <selection pane="bottomRight" activeCell="R2549" sqref="R2549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6.140625" style="6" bestFit="1" customWidth="1"/>
    <col min="5" max="5" width="12.85546875" style="8" bestFit="1" customWidth="1"/>
    <col min="6" max="6" width="13.7109375" customWidth="1"/>
    <col min="7" max="7" width="12" bestFit="1" customWidth="1"/>
    <col min="8" max="9" width="12.85546875" bestFit="1" customWidth="1"/>
    <col min="10" max="10" width="15.85546875" bestFit="1" customWidth="1"/>
    <col min="11" max="11" width="15.42578125" customWidth="1"/>
    <col min="12" max="12" width="17.7109375" bestFit="1" customWidth="1"/>
    <col min="13" max="13" width="12.85546875" bestFit="1" customWidth="1"/>
    <col min="14" max="14" width="27.5703125" bestFit="1" customWidth="1"/>
    <col min="15" max="15" width="14.140625" bestFit="1" customWidth="1"/>
    <col min="16" max="16" width="15.5703125" style="10" bestFit="1" customWidth="1"/>
    <col min="17" max="17" width="18.85546875" bestFit="1" customWidth="1"/>
    <col min="18" max="18" width="15.5703125" bestFit="1" customWidth="1"/>
    <col min="19" max="19" width="20.5703125" bestFit="1" customWidth="1"/>
    <col min="20" max="20" width="19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8359</v>
      </c>
      <c r="R1" s="1" t="s">
        <v>8358</v>
      </c>
      <c r="S1" s="1" t="s">
        <v>8366</v>
      </c>
      <c r="T1" s="1" t="s">
        <v>8365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 t="shared" ref="P2:P65" si="1">IFERROR(ROUND(E2/L2,2),0)</f>
        <v>63.92</v>
      </c>
      <c r="Q2" s="12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si="1"/>
        <v>185.48</v>
      </c>
      <c r="Q3" s="12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0">
        <f t="shared" ref="P66:P129" si="6">IFERROR(ROUND(E66/L66,2),0)</f>
        <v>86.67</v>
      </c>
      <c r="Q66" s="12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0">
        <f t="shared" si="6"/>
        <v>132.05000000000001</v>
      </c>
      <c r="Q67" s="12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0">
        <f t="shared" ref="P130:P193" si="11">IFERROR(ROUND(E130/L130,2),0)</f>
        <v>311.17</v>
      </c>
      <c r="Q130" s="12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0">
        <f t="shared" si="11"/>
        <v>0</v>
      </c>
      <c r="Q131" s="12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0">
        <f t="shared" ref="P194:P257" si="16">IFERROR(ROUND(E194/L194,2),0)</f>
        <v>5.67</v>
      </c>
      <c r="Q194" s="12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0">
        <f t="shared" si="16"/>
        <v>0</v>
      </c>
      <c r="Q195" s="12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0">
        <f t="shared" ref="P258:P321" si="21">IFERROR(ROUND(E258/L258,2),0)</f>
        <v>65.760000000000005</v>
      </c>
      <c r="Q258" s="12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0">
        <f t="shared" si="21"/>
        <v>66.7</v>
      </c>
      <c r="Q259" s="12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0">
        <f t="shared" ref="P322:P385" si="26">IFERROR(ROUND(E322/L322,2),0)</f>
        <v>134.91</v>
      </c>
      <c r="Q322" s="12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0">
        <f t="shared" si="26"/>
        <v>106.62</v>
      </c>
      <c r="Q323" s="12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0">
        <f t="shared" ref="P386:P449" si="31">IFERROR(ROUND(E386/L386,2),0)</f>
        <v>58.54</v>
      </c>
      <c r="Q386" s="12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0">
        <f t="shared" si="31"/>
        <v>111.8</v>
      </c>
      <c r="Q387" s="12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0">
        <f t="shared" ref="P450:P513" si="36">IFERROR(ROUND(E450/L450,2),0)</f>
        <v>20.5</v>
      </c>
      <c r="Q450" s="12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0">
        <f t="shared" si="36"/>
        <v>9</v>
      </c>
      <c r="Q451" s="12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0">
        <f t="shared" ref="P514:P577" si="41">IFERROR(ROUND(E514/L514,2),0)</f>
        <v>5.5</v>
      </c>
      <c r="Q514" s="12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0">
        <f t="shared" si="41"/>
        <v>102.38</v>
      </c>
      <c r="Q515" s="12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0">
        <f t="shared" ref="P578:P641" si="46">IFERROR(ROUND(E578/L578,2),0)</f>
        <v>1</v>
      </c>
      <c r="Q578" s="12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YEAR(S578)</f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0">
        <f t="shared" si="46"/>
        <v>10</v>
      </c>
      <c r="Q579" s="12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0">
        <f t="shared" ref="P642:P705" si="51">IFERROR(ROUND(E642/L642,2),0)</f>
        <v>50.5</v>
      </c>
      <c r="Q642" s="12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0">
        <f t="shared" si="51"/>
        <v>151.32</v>
      </c>
      <c r="Q643" s="12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0">
        <f t="shared" ref="P706:P769" si="56">IFERROR(ROUND(E706/L706,2),0)</f>
        <v>120.25</v>
      </c>
      <c r="Q706" s="12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0">
        <f t="shared" si="56"/>
        <v>195.4</v>
      </c>
      <c r="Q707" s="12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0">
        <f t="shared" ref="P770:P833" si="61">IFERROR(ROUND(E770/L770,2),0)</f>
        <v>0</v>
      </c>
      <c r="Q770" s="12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0">
        <f t="shared" si="61"/>
        <v>31.85</v>
      </c>
      <c r="Q771" s="12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0">
        <f t="shared" ref="P834:P897" si="66">IFERROR(ROUND(E834/L834,2),0)</f>
        <v>97.99</v>
      </c>
      <c r="Q834" s="12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0">
        <f t="shared" si="66"/>
        <v>148.78</v>
      </c>
      <c r="Q835" s="12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0">
        <f t="shared" ref="P898:P961" si="71">IFERROR(ROUND(E898/L898,2),0)</f>
        <v>44.44</v>
      </c>
      <c r="Q898" s="12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0">
        <f t="shared" si="71"/>
        <v>0</v>
      </c>
      <c r="Q899" s="12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0">
        <f t="shared" ref="P962:P1025" si="76">IFERROR(ROUND(E962/L962,2),0)</f>
        <v>136.46</v>
      </c>
      <c r="Q962" s="12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0">
        <f t="shared" si="76"/>
        <v>364.35</v>
      </c>
      <c r="Q963" s="12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0">
        <f t="shared" ref="P1026:P1089" si="81">IFERROR(ROUND(E1026/L1026,2),0)</f>
        <v>388.98</v>
      </c>
      <c r="Q1026" s="12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0">
        <f t="shared" si="81"/>
        <v>71.849999999999994</v>
      </c>
      <c r="Q1027" s="12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0">
        <f t="shared" ref="P1090:P1153" si="86">IFERROR(ROUND(E1090/L1090,2),0)</f>
        <v>43.42</v>
      </c>
      <c r="Q1090" s="12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0">
        <f t="shared" si="86"/>
        <v>23.96</v>
      </c>
      <c r="Q1091" s="12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0">
        <f t="shared" ref="P1154:P1217" si="91">IFERROR(ROUND(E1154/L1154,2),0)</f>
        <v>60.73</v>
      </c>
      <c r="Q1154" s="12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0">
        <f t="shared" si="91"/>
        <v>50</v>
      </c>
      <c r="Q1155" s="12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0">
        <f t="shared" ref="P1218:P1281" si="96">IFERROR(ROUND(E1218/L1218,2),0)</f>
        <v>91.88</v>
      </c>
      <c r="Q1218" s="12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0">
        <f t="shared" si="96"/>
        <v>148.57</v>
      </c>
      <c r="Q1219" s="12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0">
        <f t="shared" ref="P1282:P1345" si="101">IFERROR(ROUND(E1282/L1282,2),0)</f>
        <v>127.98</v>
      </c>
      <c r="Q1282" s="12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0">
        <f t="shared" si="101"/>
        <v>104.73</v>
      </c>
      <c r="Q1283" s="12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0">
        <f t="shared" ref="P1346:P1409" si="106">IFERROR(ROUND(E1346/L1346,2),0)</f>
        <v>40.76</v>
      </c>
      <c r="Q1346" s="12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0">
        <f t="shared" si="106"/>
        <v>53.57</v>
      </c>
      <c r="Q1347" s="12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0">
        <f t="shared" ref="P1410:P1473" si="111">IFERROR(ROUND(E1410/L1410,2),0)</f>
        <v>12</v>
      </c>
      <c r="Q1410" s="12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0">
        <f t="shared" si="111"/>
        <v>0</v>
      </c>
      <c r="Q1411" s="12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0">
        <f t="shared" ref="P1474:P1537" si="116">IFERROR(ROUND(E1474/L1474,2),0)</f>
        <v>103.2</v>
      </c>
      <c r="Q1474" s="12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0">
        <f t="shared" si="116"/>
        <v>38.46</v>
      </c>
      <c r="Q1475" s="12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0">
        <f t="shared" ref="P1538:P1601" si="121">IFERROR(ROUND(E1538/L1538,2),0)</f>
        <v>66.02</v>
      </c>
      <c r="Q1538" s="12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0">
        <f t="shared" si="121"/>
        <v>96.38</v>
      </c>
      <c r="Q1539" s="12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0">
        <f t="shared" ref="P1602:P1665" si="126">IFERROR(ROUND(E1602/L1602,2),0)</f>
        <v>40.78</v>
      </c>
      <c r="Q1602" s="12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0">
        <f t="shared" si="126"/>
        <v>48.33</v>
      </c>
      <c r="Q1603" s="12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0">
        <f t="shared" ref="P1666:P1729" si="131">IFERROR(ROUND(E1666/L1666,2),0)</f>
        <v>34.380000000000003</v>
      </c>
      <c r="Q1666" s="12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0">
        <f t="shared" si="131"/>
        <v>44.96</v>
      </c>
      <c r="Q1667" s="12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0">
        <f t="shared" ref="P1730:P1793" si="136">IFERROR(ROUND(E1730/L1730,2),0)</f>
        <v>122.14</v>
      </c>
      <c r="Q1730" s="12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0">
        <f t="shared" si="136"/>
        <v>0</v>
      </c>
      <c r="Q1731" s="12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0">
        <f t="shared" ref="P1794:P1857" si="141">IFERROR(ROUND(E1794/L1794,2),0)</f>
        <v>109.94</v>
      </c>
      <c r="Q1794" s="12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0">
        <f t="shared" si="141"/>
        <v>20</v>
      </c>
      <c r="Q1795" s="12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0">
        <f t="shared" ref="P1858:P1921" si="146">IFERROR(ROUND(E1858/L1858,2),0)</f>
        <v>53.29</v>
      </c>
      <c r="Q1858" s="12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0">
        <f t="shared" si="146"/>
        <v>136.36000000000001</v>
      </c>
      <c r="Q1859" s="12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0">
        <f t="shared" ref="P1922:P1985" si="151">IFERROR(ROUND(E1922/L1922,2),0)</f>
        <v>40.98</v>
      </c>
      <c r="Q1922" s="12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0">
        <f t="shared" si="151"/>
        <v>54</v>
      </c>
      <c r="Q1923" s="12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0">
        <f t="shared" ref="P1986:P2049" si="156">IFERROR(ROUND(E1986/L1986,2),0)</f>
        <v>453.14</v>
      </c>
      <c r="Q1986" s="12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0">
        <f t="shared" si="156"/>
        <v>12.75</v>
      </c>
      <c r="Q1987" s="12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0">
        <f t="shared" ref="P2050:P2113" si="161">IFERROR(ROUND(E2050/L2050,2),0)</f>
        <v>91.83</v>
      </c>
      <c r="Q2050" s="12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0">
        <f t="shared" si="161"/>
        <v>80.989999999999995</v>
      </c>
      <c r="Q2051" s="12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0">
        <f t="shared" ref="P2114:P2177" si="166">IFERROR(ROUND(E2114/L2114,2),0)</f>
        <v>27.27</v>
      </c>
      <c r="Q2114" s="12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0">
        <f t="shared" si="166"/>
        <v>68.599999999999994</v>
      </c>
      <c r="Q2115" s="12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0">
        <f t="shared" ref="P2178:P2241" si="171">IFERROR(ROUND(E2178/L2178,2),0)</f>
        <v>88.75</v>
      </c>
      <c r="Q2178" s="12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0">
        <f t="shared" si="171"/>
        <v>65.87</v>
      </c>
      <c r="Q2179" s="12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0">
        <f t="shared" ref="P2242:P2305" si="176">IFERROR(ROUND(E2242/L2242,2),0)</f>
        <v>140.97999999999999</v>
      </c>
      <c r="Q2242" s="12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0">
        <f t="shared" si="176"/>
        <v>49.47</v>
      </c>
      <c r="Q2243" s="12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0">
        <f t="shared" ref="P2306:P2369" si="181">IFERROR(ROUND(E2306/L2306,2),0)</f>
        <v>53.47</v>
      </c>
      <c r="Q2306" s="12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0">
        <f t="shared" si="181"/>
        <v>109.11</v>
      </c>
      <c r="Q2307" s="12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0">
        <f t="shared" ref="P2370:P2433" si="186">IFERROR(ROUND(E2370/L2370,2),0)</f>
        <v>50</v>
      </c>
      <c r="Q2370" s="12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0">
        <f t="shared" si="186"/>
        <v>0</v>
      </c>
      <c r="Q2371" s="12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0">
        <f t="shared" ref="P2434:P2497" si="191">IFERROR(ROUND(E2434/L2434,2),0)</f>
        <v>1</v>
      </c>
      <c r="Q2434" s="12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0">
        <f t="shared" si="191"/>
        <v>0</v>
      </c>
      <c r="Q2435" s="12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0">
        <f t="shared" ref="P2498:P2561" si="196">IFERROR(ROUND(E2498/L2498,2),0)</f>
        <v>600</v>
      </c>
      <c r="Q2498" s="12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0">
        <f t="shared" si="196"/>
        <v>80.55</v>
      </c>
      <c r="Q2499" s="12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0">
        <f t="shared" ref="P2562:P2625" si="201">IFERROR(ROUND(E2562/L2562,2),0)</f>
        <v>143</v>
      </c>
      <c r="Q2562" s="12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0">
        <f t="shared" si="201"/>
        <v>0</v>
      </c>
      <c r="Q2563" s="12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0">
        <f t="shared" ref="P2626:P2689" si="206">IFERROR(ROUND(E2626/L2626,2),0)</f>
        <v>31.82</v>
      </c>
      <c r="Q2626" s="12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0">
        <f t="shared" si="206"/>
        <v>27.58</v>
      </c>
      <c r="Q2627" s="12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0">
        <f t="shared" ref="P2690:P2753" si="211">IFERROR(ROUND(E2690/L2690,2),0)</f>
        <v>5.29</v>
      </c>
      <c r="Q2690" s="12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0">
        <f t="shared" si="211"/>
        <v>1</v>
      </c>
      <c r="Q2691" s="12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0">
        <f t="shared" ref="P2754:P2817" si="216">IFERROR(ROUND(E2754/L2754,2),0)</f>
        <v>39.29</v>
      </c>
      <c r="Q2754" s="12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0">
        <f t="shared" si="216"/>
        <v>47.5</v>
      </c>
      <c r="Q2755" s="12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0">
        <f t="shared" ref="P2818:P2881" si="221">IFERROR(ROUND(E2818/L2818,2),0)</f>
        <v>25.13</v>
      </c>
      <c r="Q2818" s="12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0">
        <f t="shared" si="221"/>
        <v>23.64</v>
      </c>
      <c r="Q2819" s="12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0">
        <f t="shared" ref="P2882:P2945" si="226">IFERROR(ROUND(E2882/L2882,2),0)</f>
        <v>96.55</v>
      </c>
      <c r="Q2882" s="12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0">
        <f t="shared" si="226"/>
        <v>0</v>
      </c>
      <c r="Q2883" s="12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0">
        <f t="shared" ref="P2946:P3009" si="231">IFERROR(ROUND(E2946/L2946,2),0)</f>
        <v>100</v>
      </c>
      <c r="Q2946" s="12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0">
        <f t="shared" si="231"/>
        <v>0</v>
      </c>
      <c r="Q2947" s="12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0">
        <f t="shared" ref="P3010:P3073" si="236">IFERROR(ROUND(E3010/L3010,2),0)</f>
        <v>116.73</v>
      </c>
      <c r="Q3010" s="12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0">
        <f t="shared" si="236"/>
        <v>233.9</v>
      </c>
      <c r="Q3011" s="12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0">
        <f t="shared" ref="P3074:P3137" si="241">IFERROR(ROUND(E3074/L3074,2),0)</f>
        <v>1</v>
      </c>
      <c r="Q3074" s="12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0">
        <f t="shared" si="241"/>
        <v>92.14</v>
      </c>
      <c r="Q3075" s="12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0">
        <f t="shared" ref="P3138:P3201" si="246">IFERROR(ROUND(E3138/L3138,2),0)</f>
        <v>29.05</v>
      </c>
      <c r="Q3138" s="12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0">
        <f t="shared" si="246"/>
        <v>50</v>
      </c>
      <c r="Q3139" s="12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0">
        <f t="shared" ref="P3202:P3265" si="251">IFERROR(ROUND(E3202/L3202,2),0)</f>
        <v>1</v>
      </c>
      <c r="Q3202" s="12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0">
        <f t="shared" si="251"/>
        <v>12.5</v>
      </c>
      <c r="Q3203" s="12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0">
        <f t="shared" ref="P3266:P3329" si="256">IFERROR(ROUND(E3266/L3266,2),0)</f>
        <v>52.55</v>
      </c>
      <c r="Q3266" s="12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0">
        <f t="shared" si="256"/>
        <v>70.290000000000006</v>
      </c>
      <c r="Q3267" s="12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0">
        <f t="shared" ref="P3330:P3393" si="261">IFERROR(ROUND(E3330/L3330,2),0)</f>
        <v>292.77999999999997</v>
      </c>
      <c r="Q3330" s="12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0">
        <f t="shared" si="261"/>
        <v>44.92</v>
      </c>
      <c r="Q3331" s="12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0">
        <f t="shared" ref="P3394:P3457" si="266">IFERROR(ROUND(E3394/L3394,2),0)</f>
        <v>41.67</v>
      </c>
      <c r="Q3394" s="12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0">
        <f t="shared" si="266"/>
        <v>36.07</v>
      </c>
      <c r="Q3395" s="12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0">
        <f t="shared" ref="P3458:P3521" si="271">IFERROR(ROUND(E3458/L3458,2),0)</f>
        <v>358.69</v>
      </c>
      <c r="Q3458" s="12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0">
        <f t="shared" si="271"/>
        <v>50.98</v>
      </c>
      <c r="Q3459" s="12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0">
        <f t="shared" ref="P3522:P3585" si="276">IFERROR(ROUND(E3522/L3522,2),0)</f>
        <v>95.95</v>
      </c>
      <c r="Q3522" s="12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0">
        <f t="shared" si="276"/>
        <v>45.62</v>
      </c>
      <c r="Q3523" s="12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0">
        <f t="shared" ref="P3586:P3649" si="281">IFERROR(ROUND(E3586/L3586,2),0)</f>
        <v>30.94</v>
      </c>
      <c r="Q3586" s="12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0">
        <f t="shared" si="281"/>
        <v>176.09</v>
      </c>
      <c r="Q3587" s="12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0">
        <f t="shared" ref="P3650:P3713" si="286">IFERROR(ROUND(E3650/L3650,2),0)</f>
        <v>550.04</v>
      </c>
      <c r="Q3650" s="12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0">
        <f t="shared" si="286"/>
        <v>97.5</v>
      </c>
      <c r="Q3651" s="12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0">
        <f t="shared" ref="P3714:P3777" si="291">IFERROR(ROUND(E3714/L3714,2),0)</f>
        <v>110.87</v>
      </c>
      <c r="Q3714" s="12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0">
        <f t="shared" si="291"/>
        <v>106.84</v>
      </c>
      <c r="Q3715" s="12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0">
        <f t="shared" ref="P3778:P3841" si="296">IFERROR(ROUND(E3778/L3778,2),0)</f>
        <v>90.82</v>
      </c>
      <c r="Q3778" s="12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0">
        <f t="shared" si="296"/>
        <v>48.54</v>
      </c>
      <c r="Q3779" s="12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0">
        <f t="shared" ref="P3842:P3905" si="301">IFERROR(ROUND(E3842/L3842,2),0)</f>
        <v>21.67</v>
      </c>
      <c r="Q3842" s="12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0">
        <f t="shared" si="301"/>
        <v>25.65</v>
      </c>
      <c r="Q3843" s="12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0">
        <f t="shared" ref="P3906:P3969" si="306">IFERROR(ROUND(E3906/L3906,2),0)</f>
        <v>1.5</v>
      </c>
      <c r="Q3906" s="12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0">
        <f t="shared" si="306"/>
        <v>24.71</v>
      </c>
      <c r="Q3907" s="12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0">
        <f t="shared" ref="P3970:P4033" si="311">IFERROR(ROUND(E3970/L3970,2),0)</f>
        <v>47.91</v>
      </c>
      <c r="Q3970" s="12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0">
        <f t="shared" si="311"/>
        <v>35.17</v>
      </c>
      <c r="Q3971" s="12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0">
        <f t="shared" ref="P4034:P4097" si="316">IFERROR(ROUND(E4034/L4034,2),0)</f>
        <v>59</v>
      </c>
      <c r="Q4034" s="12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0">
        <f t="shared" si="316"/>
        <v>65.34</v>
      </c>
      <c r="Q4035" s="12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0">
        <f t="shared" ref="P4098:P4115" si="321">IFERROR(ROUND(E4098/L4098,2),0)</f>
        <v>80</v>
      </c>
      <c r="Q4098" s="12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0">
        <f t="shared" si="321"/>
        <v>0</v>
      </c>
      <c r="Q4099" s="12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FF8C50F2-DF3C-4F75-972D-6E8B7E788225}">
    <filterColumn colId="16">
      <filters>
        <filter val="theater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percent" val="0"/>
        <cfvo type="percent" val="90"/>
        <color rgb="FFFF0000"/>
        <color theme="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816ED8A2-39ED-4984-AD15-22E1D18D0478}">
  <ds:schemaRefs/>
</ds:datastoreItem>
</file>

<file path=customXml/itemProps2.xml><?xml version="1.0" encoding="utf-8"?>
<ds:datastoreItem xmlns:ds="http://schemas.openxmlformats.org/officeDocument/2006/customXml" ds:itemID="{A8F9C727-DFFB-4703-AD52-F08B8564D6B9}">
  <ds:schemaRefs/>
</ds:datastoreItem>
</file>

<file path=customXml/itemProps3.xml><?xml version="1.0" encoding="utf-8"?>
<ds:datastoreItem xmlns:ds="http://schemas.openxmlformats.org/officeDocument/2006/customXml" ds:itemID="{EA7F97D8-1617-4294-8D28-17E5952CB839}">
  <ds:schemaRefs/>
</ds:datastoreItem>
</file>

<file path=customXml/itemProps4.xml><?xml version="1.0" encoding="utf-8"?>
<ds:datastoreItem xmlns:ds="http://schemas.openxmlformats.org/officeDocument/2006/customXml" ds:itemID="{CB1F397A-3163-4834-A7E2-635401AE4D6C}">
  <ds:schemaRefs/>
</ds:datastoreItem>
</file>

<file path=customXml/itemProps5.xml><?xml version="1.0" encoding="utf-8"?>
<ds:datastoreItem xmlns:ds="http://schemas.openxmlformats.org/officeDocument/2006/customXml" ds:itemID="{F5CF777C-07E2-4173-B746-DF240867A327}">
  <ds:schemaRefs/>
</ds:datastoreItem>
</file>

<file path=customXml/itemProps6.xml><?xml version="1.0" encoding="utf-8"?>
<ds:datastoreItem xmlns:ds="http://schemas.openxmlformats.org/officeDocument/2006/customXml" ds:itemID="{5C9FCE67-1A6D-481D-A9E7-57793C6004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Outcomes Based On Goals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Melyssa Sibal</cp:lastModifiedBy>
  <dcterms:created xsi:type="dcterms:W3CDTF">2017-04-20T15:17:24Z</dcterms:created>
  <dcterms:modified xsi:type="dcterms:W3CDTF">2020-09-18T23:41:11Z</dcterms:modified>
</cp:coreProperties>
</file>