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5"/>
  <workbookPr codeName="ThisWorkbook" defaultThemeVersion="124226"/>
  <mc:AlternateContent xmlns:mc="http://schemas.openxmlformats.org/markup-compatibility/2006">
    <mc:Choice Requires="x15">
      <x15ac:absPath xmlns:x15ac="http://schemas.microsoft.com/office/spreadsheetml/2010/11/ac" url="/Users/mitchaiet/Documents/GitHub/wayfair/"/>
    </mc:Choice>
  </mc:AlternateContent>
  <xr:revisionPtr revIDLastSave="0" documentId="8_{6EEE5826-EDFB-5E4A-B442-F13DD15B9078}" xr6:coauthVersionLast="36" xr6:coauthVersionMax="36" xr10:uidLastSave="{00000000-0000-0000-0000-000000000000}"/>
  <bookViews>
    <workbookView xWindow="16780" yWindow="460" windowWidth="14440" windowHeight="17540"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81029"/>
</workbook>
</file>

<file path=xl/calcChain.xml><?xml version="1.0" encoding="utf-8"?>
<calcChain xmlns="http://schemas.openxmlformats.org/spreadsheetml/2006/main">
  <c r="R294" i="1" l="1"/>
  <c r="U294" i="1"/>
  <c r="V294" i="1"/>
  <c r="Z294" i="1"/>
  <c r="U295" i="1"/>
  <c r="V295" i="1"/>
  <c r="Z295" i="1"/>
  <c r="U296" i="1"/>
  <c r="V296" i="1"/>
  <c r="Z296" i="1"/>
  <c r="U297" i="1"/>
  <c r="V297" i="1"/>
  <c r="Z297" i="1"/>
  <c r="U298" i="1"/>
  <c r="V298" i="1"/>
  <c r="Z298" i="1"/>
  <c r="V299" i="1"/>
  <c r="Z299" i="1"/>
  <c r="V300" i="1"/>
  <c r="Z300" i="1"/>
  <c r="V301" i="1"/>
  <c r="Z301" i="1"/>
  <c r="R302" i="1"/>
  <c r="U302" i="1"/>
  <c r="V302" i="1"/>
  <c r="Z302" i="1"/>
  <c r="U303" i="1"/>
  <c r="V303" i="1"/>
  <c r="Z303" i="1"/>
  <c r="R304" i="1"/>
  <c r="V304" i="1"/>
  <c r="Z304" i="1"/>
  <c r="R305" i="1"/>
  <c r="V305" i="1"/>
  <c r="Z305" i="1"/>
  <c r="U306" i="1"/>
  <c r="V306" i="1"/>
  <c r="Z306" i="1"/>
  <c r="U307" i="1"/>
  <c r="V307" i="1"/>
  <c r="Z307" i="1"/>
  <c r="U308" i="1"/>
  <c r="V308" i="1"/>
  <c r="Z308" i="1"/>
  <c r="V309" i="1"/>
  <c r="Z309" i="1"/>
  <c r="U310" i="1"/>
  <c r="V310" i="1"/>
  <c r="Z310" i="1"/>
  <c r="U311" i="1"/>
  <c r="V311" i="1"/>
  <c r="Z311" i="1"/>
  <c r="R312" i="1"/>
  <c r="V312" i="1"/>
  <c r="Z312" i="1"/>
  <c r="R313" i="1"/>
  <c r="V313" i="1"/>
  <c r="Z313" i="1"/>
  <c r="U314" i="1"/>
  <c r="V314" i="1"/>
  <c r="Z314" i="1"/>
  <c r="V315" i="1"/>
  <c r="Z315" i="1"/>
  <c r="R316" i="1"/>
  <c r="V316" i="1"/>
  <c r="Z316" i="1"/>
  <c r="R317" i="1"/>
  <c r="V317" i="1"/>
  <c r="Z317" i="1"/>
  <c r="U318" i="1"/>
  <c r="V318" i="1"/>
  <c r="Z318" i="1"/>
  <c r="R319" i="1"/>
  <c r="V319" i="1"/>
  <c r="Z319" i="1"/>
  <c r="U320" i="1"/>
  <c r="V320" i="1"/>
  <c r="Z320" i="1"/>
  <c r="BB320" i="1"/>
  <c r="U321" i="1"/>
  <c r="V321" i="1"/>
  <c r="Z321" i="1"/>
  <c r="R322" i="1"/>
  <c r="U322" i="1"/>
  <c r="V322" i="1"/>
  <c r="Z322" i="1"/>
  <c r="V323" i="1"/>
  <c r="Z323" i="1"/>
  <c r="V324" i="1"/>
  <c r="Z324" i="1"/>
  <c r="V325" i="1"/>
  <c r="Z325" i="1"/>
  <c r="R326" i="1"/>
  <c r="V326" i="1"/>
  <c r="Z326" i="1"/>
  <c r="V327" i="1"/>
  <c r="Z327" i="1"/>
  <c r="V328" i="1"/>
  <c r="Z328" i="1"/>
  <c r="U329" i="1"/>
  <c r="V329" i="1"/>
  <c r="Z329" i="1"/>
  <c r="R330" i="1"/>
  <c r="U330" i="1"/>
  <c r="V330" i="1"/>
  <c r="Z330" i="1"/>
  <c r="R331" i="1"/>
  <c r="U331" i="1"/>
  <c r="V331" i="1"/>
  <c r="Z331" i="1"/>
  <c r="R332" i="1"/>
  <c r="U332" i="1"/>
  <c r="V332" i="1"/>
  <c r="Z332" i="1"/>
  <c r="V333" i="1"/>
  <c r="Z333" i="1"/>
  <c r="U334" i="1"/>
  <c r="V334" i="1"/>
  <c r="Z334" i="1"/>
  <c r="V335" i="1"/>
  <c r="Z335" i="1"/>
  <c r="V336" i="1"/>
  <c r="Z336" i="1"/>
  <c r="V337" i="1"/>
  <c r="Z337" i="1"/>
  <c r="V338" i="1"/>
  <c r="Z338" i="1"/>
  <c r="V339" i="1"/>
  <c r="Z339" i="1"/>
  <c r="V340" i="1"/>
  <c r="Z340" i="1"/>
  <c r="V341" i="1"/>
  <c r="Z341" i="1"/>
  <c r="V342" i="1"/>
  <c r="Z342" i="1"/>
  <c r="V343" i="1"/>
  <c r="Z343" i="1"/>
  <c r="V344" i="1"/>
  <c r="Z344" i="1"/>
  <c r="V345" i="1"/>
  <c r="Z345" i="1"/>
  <c r="V346" i="1"/>
  <c r="Z346" i="1"/>
  <c r="V347" i="1"/>
  <c r="Z347" i="1"/>
  <c r="V348" i="1"/>
  <c r="Z348" i="1"/>
  <c r="V349" i="1"/>
  <c r="Z349" i="1"/>
  <c r="V350" i="1"/>
  <c r="Z350" i="1"/>
  <c r="V351" i="1"/>
  <c r="Z351" i="1"/>
  <c r="V352" i="1"/>
  <c r="Z352" i="1"/>
  <c r="V353" i="1"/>
  <c r="Z353" i="1"/>
  <c r="V354" i="1"/>
  <c r="Z354" i="1"/>
  <c r="R355" i="1"/>
  <c r="V355" i="1"/>
  <c r="Z355" i="1"/>
  <c r="U356" i="1"/>
  <c r="V356" i="1"/>
  <c r="Z356" i="1"/>
  <c r="R357" i="1"/>
  <c r="V357" i="1"/>
  <c r="Z357" i="1"/>
  <c r="R358" i="1"/>
  <c r="V358" i="1"/>
  <c r="Z358" i="1"/>
  <c r="R359" i="1"/>
  <c r="V359" i="1"/>
  <c r="Z359" i="1"/>
  <c r="V360" i="1"/>
  <c r="Z360" i="1"/>
  <c r="R361" i="1"/>
  <c r="V361" i="1"/>
  <c r="Z361" i="1"/>
  <c r="U362" i="1"/>
  <c r="V362" i="1"/>
  <c r="Z362" i="1"/>
  <c r="V363" i="1"/>
  <c r="Z363" i="1"/>
  <c r="U364" i="1"/>
  <c r="V364" i="1"/>
  <c r="Z364" i="1"/>
  <c r="V365" i="1"/>
  <c r="Z365" i="1"/>
  <c r="U366" i="1"/>
  <c r="V366" i="1"/>
  <c r="Z366" i="1"/>
  <c r="U367" i="1"/>
  <c r="V367" i="1"/>
  <c r="Z367" i="1"/>
  <c r="V368" i="1"/>
  <c r="Z368" i="1"/>
  <c r="V369" i="1"/>
  <c r="Z369" i="1"/>
  <c r="R370" i="1"/>
  <c r="V370" i="1"/>
  <c r="Z370" i="1"/>
  <c r="U371" i="1"/>
  <c r="V371" i="1"/>
  <c r="Z371" i="1"/>
  <c r="U372" i="1"/>
  <c r="V372" i="1"/>
  <c r="Z372" i="1"/>
  <c r="R373" i="1"/>
  <c r="U373" i="1"/>
  <c r="V373" i="1"/>
  <c r="Z373" i="1"/>
  <c r="V374" i="1"/>
  <c r="Z374" i="1"/>
  <c r="R375" i="1"/>
  <c r="V375" i="1"/>
  <c r="Z375" i="1"/>
  <c r="V376" i="1"/>
  <c r="Z376" i="1"/>
  <c r="V377" i="1"/>
  <c r="Z377" i="1"/>
  <c r="V378" i="1"/>
  <c r="Z378" i="1"/>
  <c r="R379" i="1"/>
  <c r="V379" i="1"/>
  <c r="Z379" i="1"/>
  <c r="R380" i="1"/>
  <c r="V380" i="1"/>
  <c r="Z380" i="1"/>
  <c r="R381" i="1"/>
  <c r="V381" i="1"/>
  <c r="Z381" i="1"/>
  <c r="U382" i="1"/>
  <c r="V382" i="1"/>
  <c r="Z382" i="1"/>
  <c r="U383" i="1"/>
  <c r="V383" i="1"/>
  <c r="Z383" i="1"/>
  <c r="U384" i="1"/>
  <c r="V384" i="1"/>
  <c r="Z384" i="1"/>
  <c r="R385" i="1"/>
  <c r="V385" i="1"/>
  <c r="Z385" i="1"/>
  <c r="R386" i="1"/>
  <c r="U386" i="1"/>
  <c r="V386" i="1"/>
  <c r="Z386" i="1"/>
  <c r="V387" i="1"/>
  <c r="Z387" i="1"/>
  <c r="V388" i="1"/>
  <c r="Z388" i="1"/>
  <c r="U389" i="1"/>
  <c r="V389" i="1"/>
  <c r="Z389" i="1"/>
  <c r="V390" i="1"/>
  <c r="Z390" i="1"/>
  <c r="V391" i="1"/>
  <c r="Z391" i="1"/>
  <c r="V392" i="1"/>
  <c r="Z392" i="1"/>
  <c r="V393" i="1"/>
  <c r="Z393" i="1"/>
  <c r="V394" i="1"/>
  <c r="Z394" i="1"/>
  <c r="R395" i="1"/>
  <c r="V395" i="1"/>
  <c r="Z395" i="1"/>
  <c r="BB395" i="1"/>
  <c r="V396" i="1"/>
  <c r="Z396" i="1"/>
  <c r="V397" i="1"/>
  <c r="Z397" i="1"/>
  <c r="U398" i="1"/>
  <c r="V398" i="1"/>
  <c r="Z398" i="1"/>
  <c r="U399" i="1"/>
  <c r="V399" i="1"/>
  <c r="Z399" i="1"/>
  <c r="R400" i="1"/>
  <c r="V400" i="1"/>
  <c r="Z400" i="1"/>
  <c r="U401" i="1"/>
  <c r="V401" i="1"/>
  <c r="Z401" i="1"/>
  <c r="U402" i="1"/>
  <c r="V402" i="1"/>
  <c r="Z402" i="1"/>
  <c r="U403" i="1"/>
  <c r="V403" i="1"/>
  <c r="Z403" i="1"/>
  <c r="U404" i="1"/>
  <c r="V404" i="1"/>
  <c r="Z404" i="1"/>
  <c r="U405" i="1"/>
  <c r="V405" i="1"/>
  <c r="Z405" i="1"/>
  <c r="U406" i="1"/>
  <c r="V406" i="1"/>
  <c r="Z406" i="1"/>
  <c r="U407" i="1"/>
  <c r="V407" i="1"/>
  <c r="Z407" i="1"/>
  <c r="R408" i="1"/>
  <c r="V408" i="1"/>
  <c r="Z408" i="1"/>
  <c r="V409" i="1"/>
  <c r="Z409" i="1"/>
  <c r="R410" i="1"/>
  <c r="V410" i="1"/>
  <c r="Z410" i="1"/>
  <c r="R411" i="1"/>
  <c r="V411" i="1"/>
  <c r="Z411" i="1"/>
  <c r="V412" i="1"/>
  <c r="Z412" i="1"/>
  <c r="U413" i="1"/>
  <c r="V413" i="1"/>
  <c r="Z413" i="1"/>
  <c r="R414" i="1"/>
  <c r="U414" i="1"/>
  <c r="V414" i="1"/>
  <c r="Z414" i="1"/>
  <c r="V415" i="1"/>
  <c r="Z415" i="1"/>
  <c r="R416" i="1"/>
  <c r="U416" i="1"/>
  <c r="V416" i="1"/>
  <c r="Z416" i="1"/>
  <c r="R417" i="1"/>
  <c r="V417" i="1"/>
  <c r="Z417" i="1"/>
  <c r="R418" i="1"/>
  <c r="V418" i="1"/>
  <c r="Z418" i="1"/>
  <c r="R419" i="1"/>
  <c r="V419" i="1"/>
  <c r="Z419" i="1"/>
  <c r="U420" i="1"/>
  <c r="V420" i="1"/>
  <c r="Z420" i="1"/>
  <c r="V421" i="1"/>
  <c r="Z421" i="1"/>
  <c r="U422" i="1"/>
  <c r="V422" i="1"/>
  <c r="Z422" i="1"/>
  <c r="R423" i="1"/>
  <c r="V423" i="1"/>
  <c r="Z423" i="1"/>
  <c r="V424" i="1"/>
  <c r="Z424" i="1"/>
  <c r="R425" i="1"/>
  <c r="V425" i="1"/>
  <c r="Z425" i="1"/>
  <c r="U426" i="1"/>
  <c r="V426" i="1"/>
  <c r="Z426" i="1"/>
  <c r="V427" i="1"/>
  <c r="Z427" i="1"/>
  <c r="U428" i="1"/>
  <c r="V428" i="1"/>
  <c r="Z428" i="1"/>
  <c r="V429" i="1"/>
  <c r="Z429" i="1"/>
  <c r="U430" i="1"/>
  <c r="V430" i="1"/>
  <c r="Z430" i="1"/>
  <c r="V431" i="1"/>
  <c r="Z431" i="1"/>
  <c r="V432" i="1"/>
  <c r="Z432" i="1"/>
  <c r="R433" i="1"/>
  <c r="U433" i="1"/>
  <c r="V433" i="1"/>
  <c r="Z433" i="1"/>
  <c r="R434" i="1"/>
  <c r="U434" i="1"/>
  <c r="V434" i="1"/>
  <c r="Z434" i="1"/>
  <c r="R435" i="1"/>
  <c r="V435" i="1"/>
  <c r="Z435" i="1"/>
  <c r="U436" i="1"/>
  <c r="V436" i="1"/>
  <c r="Z436" i="1"/>
  <c r="R437" i="1"/>
  <c r="V437" i="1"/>
  <c r="Z437" i="1"/>
  <c r="U438" i="1"/>
  <c r="V438" i="1"/>
  <c r="Z438" i="1"/>
  <c r="U439" i="1"/>
  <c r="V439" i="1"/>
  <c r="Z439" i="1"/>
  <c r="V440" i="1"/>
  <c r="Z440" i="1"/>
  <c r="U441" i="1"/>
  <c r="V441" i="1"/>
  <c r="Z441" i="1"/>
  <c r="U442" i="1"/>
  <c r="V442" i="1"/>
  <c r="Z442" i="1"/>
  <c r="BB442" i="1"/>
  <c r="U443" i="1"/>
  <c r="V443" i="1"/>
  <c r="Z443" i="1"/>
  <c r="V444" i="1"/>
  <c r="Z444" i="1"/>
  <c r="U445" i="1"/>
  <c r="V445" i="1"/>
  <c r="Z445" i="1"/>
  <c r="U446" i="1"/>
  <c r="V446" i="1"/>
  <c r="Z446" i="1"/>
  <c r="U447" i="1"/>
  <c r="V447" i="1"/>
  <c r="Z447" i="1"/>
  <c r="V448" i="1"/>
  <c r="Z448" i="1"/>
  <c r="U449" i="1"/>
  <c r="V449" i="1"/>
  <c r="Z449" i="1"/>
  <c r="V450" i="1"/>
  <c r="Z450" i="1"/>
  <c r="V451" i="1"/>
  <c r="Z451" i="1"/>
  <c r="U452" i="1"/>
  <c r="V452" i="1"/>
  <c r="Z452" i="1"/>
  <c r="V453" i="1"/>
  <c r="Z453" i="1"/>
  <c r="V454" i="1"/>
  <c r="Z454" i="1"/>
  <c r="R455" i="1"/>
  <c r="V455" i="1"/>
  <c r="Z455" i="1"/>
  <c r="U456" i="1"/>
  <c r="V456" i="1"/>
  <c r="Z456" i="1"/>
  <c r="U457" i="1"/>
  <c r="V457" i="1"/>
  <c r="Z457" i="1"/>
  <c r="R458" i="1"/>
  <c r="V458" i="1"/>
  <c r="Z458" i="1"/>
  <c r="R459" i="1"/>
  <c r="V459" i="1"/>
  <c r="Z459" i="1"/>
  <c r="U460" i="1"/>
  <c r="V460" i="1"/>
  <c r="Z460" i="1"/>
  <c r="V461" i="1"/>
  <c r="Z461" i="1"/>
  <c r="U462" i="1"/>
  <c r="V462" i="1"/>
  <c r="Z462" i="1"/>
  <c r="U463" i="1"/>
  <c r="V463" i="1"/>
  <c r="Z463" i="1"/>
  <c r="V464" i="1"/>
  <c r="Z464" i="1"/>
  <c r="V465" i="1"/>
  <c r="Z465" i="1"/>
  <c r="U466" i="1"/>
  <c r="V466" i="1"/>
  <c r="Z466" i="1"/>
  <c r="BB466" i="1"/>
  <c r="V467" i="1"/>
  <c r="Z467" i="1"/>
  <c r="R468" i="1"/>
  <c r="V468" i="1"/>
  <c r="Z468" i="1"/>
  <c r="V469" i="1"/>
  <c r="Z469" i="1"/>
  <c r="V470" i="1"/>
  <c r="Z470" i="1"/>
  <c r="V471" i="1"/>
  <c r="Z471" i="1"/>
  <c r="V472" i="1"/>
  <c r="Z472" i="1"/>
  <c r="U473" i="1"/>
  <c r="V473" i="1"/>
  <c r="Z473" i="1"/>
  <c r="U474" i="1"/>
  <c r="V474" i="1"/>
  <c r="Z474" i="1"/>
  <c r="U475" i="1"/>
  <c r="V475" i="1"/>
  <c r="Z475" i="1"/>
  <c r="V476" i="1"/>
  <c r="Z476" i="1"/>
  <c r="U477" i="1"/>
  <c r="V477" i="1"/>
  <c r="Z477" i="1"/>
  <c r="U478" i="1"/>
  <c r="V478" i="1"/>
  <c r="Z478" i="1"/>
  <c r="V479" i="1"/>
  <c r="Z479" i="1"/>
  <c r="U480" i="1"/>
  <c r="V480" i="1"/>
  <c r="Z480" i="1"/>
  <c r="V481" i="1"/>
  <c r="Z481" i="1"/>
  <c r="V482" i="1"/>
  <c r="Z482" i="1"/>
  <c r="R483" i="1"/>
  <c r="U483" i="1"/>
  <c r="V483" i="1"/>
  <c r="Z483" i="1"/>
  <c r="U484" i="1"/>
  <c r="V484" i="1"/>
  <c r="Z484" i="1"/>
  <c r="R485" i="1"/>
  <c r="U485" i="1"/>
  <c r="V485" i="1"/>
  <c r="Z485" i="1"/>
  <c r="U486" i="1"/>
  <c r="V486" i="1"/>
  <c r="Z486" i="1"/>
  <c r="V487" i="1"/>
  <c r="Z487" i="1"/>
  <c r="R488" i="1"/>
  <c r="V488" i="1"/>
  <c r="Z488" i="1"/>
  <c r="V489" i="1"/>
  <c r="Z489" i="1"/>
  <c r="V490" i="1"/>
  <c r="Z490" i="1"/>
  <c r="V491" i="1"/>
  <c r="Z491" i="1"/>
  <c r="R492" i="1"/>
  <c r="U492" i="1"/>
  <c r="V492" i="1"/>
  <c r="Z492" i="1"/>
  <c r="U493" i="1"/>
  <c r="V493" i="1"/>
  <c r="Z493" i="1"/>
  <c r="U494" i="1"/>
  <c r="V494" i="1"/>
  <c r="Z494" i="1"/>
  <c r="U495" i="1"/>
  <c r="V495" i="1"/>
  <c r="Z495" i="1"/>
  <c r="V496" i="1"/>
  <c r="Z496" i="1"/>
  <c r="U497" i="1"/>
  <c r="V497" i="1"/>
  <c r="Z497" i="1"/>
  <c r="V498" i="1"/>
  <c r="Z498" i="1"/>
  <c r="U499" i="1"/>
  <c r="V499" i="1"/>
  <c r="Z499" i="1"/>
  <c r="U500" i="1"/>
  <c r="V500" i="1"/>
  <c r="Z500" i="1"/>
  <c r="U501" i="1"/>
  <c r="V501" i="1"/>
  <c r="Z501" i="1"/>
  <c r="V502" i="1"/>
  <c r="Z502" i="1"/>
  <c r="V503" i="1"/>
  <c r="Z503" i="1"/>
  <c r="V504" i="1"/>
  <c r="Z504" i="1"/>
  <c r="R505" i="1"/>
  <c r="V505" i="1"/>
  <c r="Z505" i="1"/>
  <c r="U506" i="1"/>
  <c r="V506" i="1"/>
  <c r="Z506" i="1"/>
  <c r="R507" i="1"/>
  <c r="V507" i="1"/>
  <c r="Z507" i="1"/>
  <c r="U508" i="1"/>
  <c r="V508" i="1"/>
  <c r="Z508" i="1"/>
  <c r="R509" i="1"/>
  <c r="V509" i="1"/>
  <c r="Z509" i="1"/>
  <c r="R510" i="1"/>
  <c r="U510" i="1"/>
  <c r="V510" i="1"/>
  <c r="Z510" i="1"/>
  <c r="AY3" i="3"/>
  <c r="AY4" i="3"/>
  <c r="AY5" i="3"/>
  <c r="AY6" i="3"/>
  <c r="AY7" i="3"/>
  <c r="AY8" i="3"/>
  <c r="AY9" i="3"/>
  <c r="AY10" i="3"/>
  <c r="AY11" i="3"/>
  <c r="AY12" i="3"/>
  <c r="AY13" i="3"/>
  <c r="AY14" i="3"/>
  <c r="AY15" i="3"/>
  <c r="AY16" i="3"/>
  <c r="AY17" i="3"/>
  <c r="AY18" i="3"/>
  <c r="AY19" i="3"/>
  <c r="AY20" i="3"/>
  <c r="AY21" i="3"/>
  <c r="AY22" i="3"/>
  <c r="AY23" i="3"/>
  <c r="AY24" i="3"/>
  <c r="AY25" i="3"/>
  <c r="AY26" i="3"/>
  <c r="AY27" i="3"/>
  <c r="AY28" i="3"/>
  <c r="AY29" i="3"/>
  <c r="AY30" i="3"/>
  <c r="AY31" i="3"/>
  <c r="AY32" i="3"/>
  <c r="AY33" i="3"/>
  <c r="AY34" i="3"/>
  <c r="AY35" i="3"/>
  <c r="AY36" i="3"/>
  <c r="AY37" i="3"/>
  <c r="AY38" i="3"/>
  <c r="AY39" i="3"/>
  <c r="AY40" i="3"/>
  <c r="AY41" i="3"/>
  <c r="AY42" i="3"/>
  <c r="AY43" i="3"/>
  <c r="AY44" i="3"/>
  <c r="AY45" i="3"/>
  <c r="AY46" i="3"/>
  <c r="AY47" i="3"/>
  <c r="AY48" i="3"/>
  <c r="AY49" i="3"/>
  <c r="AY50" i="3"/>
  <c r="AY51" i="3"/>
  <c r="AY52" i="3"/>
  <c r="AY53" i="3"/>
  <c r="AY54" i="3"/>
  <c r="AY55" i="3"/>
  <c r="AY56" i="3"/>
  <c r="AY57" i="3"/>
  <c r="AY58" i="3"/>
  <c r="AY59" i="3"/>
  <c r="AY60" i="3"/>
  <c r="AY61" i="3"/>
  <c r="AY62" i="3"/>
  <c r="AY63" i="3"/>
  <c r="AY64" i="3"/>
  <c r="AY65" i="3"/>
  <c r="AY66" i="3"/>
  <c r="AY67" i="3"/>
  <c r="AY68" i="3"/>
  <c r="AY69" i="3"/>
  <c r="AY70" i="3"/>
  <c r="AY71" i="3"/>
  <c r="AY72" i="3"/>
  <c r="AY73" i="3"/>
  <c r="AY74" i="3"/>
  <c r="AY75" i="3"/>
  <c r="AY76" i="3"/>
  <c r="AY77" i="3"/>
  <c r="AY78" i="3"/>
  <c r="AY79" i="3"/>
  <c r="AY80" i="3"/>
  <c r="AY81" i="3"/>
  <c r="AY82" i="3"/>
  <c r="AY83" i="3"/>
  <c r="AY84" i="3"/>
  <c r="AY85" i="3"/>
  <c r="AY86" i="3"/>
  <c r="AY87" i="3"/>
  <c r="AY88" i="3"/>
  <c r="AY89" i="3"/>
  <c r="AY90" i="3"/>
  <c r="AY91" i="3"/>
  <c r="AY92" i="3"/>
  <c r="AY93" i="3"/>
  <c r="AY94" i="3"/>
  <c r="AY95" i="3"/>
  <c r="AY96" i="3"/>
  <c r="AY97" i="3"/>
  <c r="AY98" i="3"/>
  <c r="AY99" i="3"/>
  <c r="AY100" i="3"/>
  <c r="AY101" i="3"/>
  <c r="AY102" i="3"/>
  <c r="AY103" i="3"/>
  <c r="AY104" i="3"/>
  <c r="AY105" i="3"/>
  <c r="AY106" i="3"/>
  <c r="AY107" i="3"/>
  <c r="AY108" i="3"/>
  <c r="AY109" i="3"/>
  <c r="AY110" i="3"/>
  <c r="AY111" i="3"/>
  <c r="AY112" i="3"/>
  <c r="AY113" i="3"/>
  <c r="AY114" i="3"/>
  <c r="AY115" i="3"/>
  <c r="AY116" i="3"/>
  <c r="AY117" i="3"/>
  <c r="AY118" i="3"/>
  <c r="AY119" i="3"/>
  <c r="AY120" i="3"/>
  <c r="AY121" i="3"/>
  <c r="AY122" i="3"/>
  <c r="AY123" i="3"/>
  <c r="AY124" i="3"/>
  <c r="AY125" i="3"/>
  <c r="AY126" i="3"/>
  <c r="AY127" i="3"/>
  <c r="AY128" i="3"/>
  <c r="AY129" i="3"/>
  <c r="AY130" i="3"/>
  <c r="AY131" i="3"/>
  <c r="AY132" i="3"/>
  <c r="AY133" i="3"/>
  <c r="AY134" i="3"/>
  <c r="AY135" i="3"/>
  <c r="AY136" i="3"/>
  <c r="AY137" i="3"/>
  <c r="AY138" i="3"/>
  <c r="AY139" i="3"/>
  <c r="AY140" i="3"/>
  <c r="AY141" i="3"/>
  <c r="AY142" i="3"/>
  <c r="AY143" i="3"/>
  <c r="AY144" i="3"/>
  <c r="AY145" i="3"/>
  <c r="AY146" i="3"/>
  <c r="AY147" i="3"/>
  <c r="AY148" i="3"/>
  <c r="AY149" i="3"/>
  <c r="AY150" i="3"/>
  <c r="AY151" i="3"/>
  <c r="AY152" i="3"/>
  <c r="AY153" i="3"/>
  <c r="AY154" i="3"/>
  <c r="AY155" i="3"/>
  <c r="AY156" i="3"/>
  <c r="AY157" i="3"/>
  <c r="AY158" i="3"/>
  <c r="AY159" i="3"/>
  <c r="AY160" i="3"/>
  <c r="AY161" i="3"/>
  <c r="AY162" i="3"/>
  <c r="AY163" i="3"/>
  <c r="AY164" i="3"/>
  <c r="AY165" i="3"/>
  <c r="AY166" i="3"/>
  <c r="AY167" i="3"/>
  <c r="AY168" i="3"/>
  <c r="AY169" i="3"/>
  <c r="AY170" i="3"/>
  <c r="AY171" i="3"/>
  <c r="AY172" i="3"/>
  <c r="AY173" i="3"/>
  <c r="AY174" i="3"/>
  <c r="AY175" i="3"/>
  <c r="AY176" i="3"/>
  <c r="AY177" i="3"/>
  <c r="AY178" i="3"/>
  <c r="AY179" i="3"/>
  <c r="AY180" i="3"/>
  <c r="AY181" i="3"/>
  <c r="AY182" i="3"/>
  <c r="AY183" i="3"/>
  <c r="AY184" i="3"/>
  <c r="AY185" i="3"/>
  <c r="AY186" i="3"/>
  <c r="AY187" i="3"/>
  <c r="AY188" i="3"/>
  <c r="AY189" i="3"/>
  <c r="AY190" i="3"/>
  <c r="AY191" i="3"/>
  <c r="AY192" i="3"/>
  <c r="AY193" i="3"/>
  <c r="AY194" i="3"/>
  <c r="AY195" i="3"/>
  <c r="AY196" i="3"/>
  <c r="AY197" i="3"/>
  <c r="AY198" i="3"/>
  <c r="AY199" i="3"/>
  <c r="AY200" i="3"/>
  <c r="AY201" i="3"/>
  <c r="AY202" i="3"/>
  <c r="AY203" i="3"/>
  <c r="AY204" i="3"/>
  <c r="AY205" i="3"/>
  <c r="AY206" i="3"/>
  <c r="AY207" i="3"/>
  <c r="AY208" i="3"/>
  <c r="AY209" i="3"/>
  <c r="AY210" i="3"/>
  <c r="AY211" i="3"/>
  <c r="AY212" i="3"/>
  <c r="AY213" i="3"/>
  <c r="AY214" i="3"/>
  <c r="AY215" i="3"/>
  <c r="AY216" i="3"/>
  <c r="AY217" i="3"/>
  <c r="AY218" i="3"/>
  <c r="AY219" i="3"/>
  <c r="AY220" i="3"/>
  <c r="AY221" i="3"/>
  <c r="AY222" i="3"/>
  <c r="AY223" i="3"/>
  <c r="AY224" i="3"/>
  <c r="AY225" i="3"/>
  <c r="AY226" i="3"/>
  <c r="AY227" i="3"/>
  <c r="AY228" i="3"/>
  <c r="AY229" i="3"/>
  <c r="AY230" i="3"/>
  <c r="AY231" i="3"/>
  <c r="AY232" i="3"/>
  <c r="AY233" i="3"/>
  <c r="AY234" i="3"/>
  <c r="AY235" i="3"/>
  <c r="AY236" i="3"/>
  <c r="AY237" i="3"/>
  <c r="AY238" i="3"/>
  <c r="AY239" i="3"/>
  <c r="AY240" i="3"/>
  <c r="AY241" i="3"/>
  <c r="AY242" i="3"/>
  <c r="AY243" i="3"/>
  <c r="AY244" i="3"/>
  <c r="AY245" i="3"/>
  <c r="AY246" i="3"/>
  <c r="AY247" i="3"/>
  <c r="AY248" i="3"/>
  <c r="AY249" i="3"/>
  <c r="AY250" i="3"/>
  <c r="AY251" i="3"/>
  <c r="AY252" i="3"/>
  <c r="AY253" i="3"/>
  <c r="AY254" i="3"/>
  <c r="AY255" i="3"/>
  <c r="AY256" i="3"/>
  <c r="AY257" i="3"/>
  <c r="AY258" i="3"/>
  <c r="AY259" i="3"/>
  <c r="AY260" i="3"/>
  <c r="AY261" i="3"/>
  <c r="AY262" i="3"/>
  <c r="AY263" i="3"/>
  <c r="AY264" i="3"/>
  <c r="AY265" i="3"/>
  <c r="AY266" i="3"/>
  <c r="AY267" i="3"/>
  <c r="AY268" i="3"/>
  <c r="AY269" i="3"/>
  <c r="AY270" i="3"/>
  <c r="AY271" i="3"/>
  <c r="AY272" i="3"/>
  <c r="AY273" i="3"/>
  <c r="AY274" i="3"/>
  <c r="AY275" i="3"/>
  <c r="AY276" i="3"/>
  <c r="AY277" i="3"/>
  <c r="AY278" i="3"/>
  <c r="AY279" i="3"/>
  <c r="AY280" i="3"/>
  <c r="AY281" i="3"/>
  <c r="AY282" i="3"/>
  <c r="AY283" i="3"/>
  <c r="AY284" i="3"/>
  <c r="AY285"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AV3" i="3"/>
  <c r="AV4" i="3"/>
  <c r="AV5" i="3"/>
  <c r="AV8" i="3"/>
  <c r="AV9" i="3"/>
  <c r="AV11" i="3"/>
  <c r="AV12" i="3"/>
  <c r="AV13" i="3"/>
  <c r="AV17" i="3"/>
  <c r="AV18" i="3"/>
  <c r="AV19" i="3"/>
  <c r="AV20" i="3"/>
  <c r="AV21" i="3"/>
  <c r="AV22" i="3"/>
  <c r="AV26" i="3"/>
  <c r="AV28" i="3"/>
  <c r="AV29" i="3"/>
  <c r="AV30" i="3"/>
  <c r="AV31" i="3"/>
  <c r="AV32" i="3"/>
  <c r="AV33" i="3"/>
  <c r="AV34" i="3"/>
  <c r="AV35" i="3"/>
  <c r="AV38" i="3"/>
  <c r="AV39" i="3"/>
  <c r="AV40" i="3"/>
  <c r="AV42" i="3"/>
  <c r="AV44" i="3"/>
  <c r="AV45" i="3"/>
  <c r="AV46" i="3"/>
  <c r="AV47" i="3"/>
  <c r="AV48" i="3"/>
  <c r="AV49" i="3"/>
  <c r="AV52" i="3"/>
  <c r="AV53" i="3"/>
  <c r="AV54" i="3"/>
  <c r="AV57" i="3"/>
  <c r="AV58" i="3"/>
  <c r="AV59" i="3"/>
  <c r="AV60" i="3"/>
  <c r="AV61" i="3"/>
  <c r="AV62" i="3"/>
  <c r="AV65" i="3"/>
  <c r="AV68" i="3"/>
  <c r="AV69" i="3"/>
  <c r="AV71" i="3"/>
  <c r="AV72" i="3"/>
  <c r="AV73" i="3"/>
  <c r="AV74" i="3"/>
  <c r="AV75" i="3"/>
  <c r="AV78" i="3"/>
  <c r="AV79" i="3"/>
  <c r="AV81" i="3"/>
  <c r="AV82" i="3"/>
  <c r="AV85" i="3"/>
  <c r="AV88" i="3"/>
  <c r="AV90" i="3"/>
  <c r="AV91" i="3"/>
  <c r="AV92" i="3"/>
  <c r="AV93" i="3"/>
  <c r="AV95" i="3"/>
  <c r="AV96" i="3"/>
  <c r="AV97" i="3"/>
  <c r="AV99" i="3"/>
  <c r="AV100" i="3"/>
  <c r="AV101" i="3"/>
  <c r="AV102" i="3"/>
  <c r="AV105" i="3"/>
  <c r="AV107" i="3"/>
  <c r="AV109" i="3"/>
  <c r="AV110" i="3"/>
  <c r="AV115" i="3"/>
  <c r="AV118" i="3"/>
  <c r="AV119" i="3"/>
  <c r="AV121" i="3"/>
  <c r="AV122" i="3"/>
  <c r="AV127" i="3"/>
  <c r="AV128" i="3"/>
  <c r="AV129" i="3"/>
  <c r="AV130" i="3"/>
  <c r="AV131" i="3"/>
  <c r="AV132" i="3"/>
  <c r="AV133" i="3"/>
  <c r="AV135" i="3"/>
  <c r="AV137" i="3"/>
  <c r="AV138" i="3"/>
  <c r="AV139" i="3"/>
  <c r="AV142" i="3"/>
  <c r="AV144" i="3"/>
  <c r="AV147" i="3"/>
  <c r="AV150" i="3"/>
  <c r="AV153" i="3"/>
  <c r="AV156" i="3"/>
  <c r="AV161" i="3"/>
  <c r="AV162" i="3"/>
  <c r="AV166" i="3"/>
  <c r="AV167" i="3"/>
  <c r="AV169" i="3"/>
  <c r="AV171" i="3"/>
  <c r="AV174" i="3"/>
  <c r="AV175" i="3"/>
  <c r="AV178" i="3"/>
  <c r="AV179" i="3"/>
  <c r="AV180" i="3"/>
  <c r="AV181" i="3"/>
  <c r="AV183" i="3"/>
  <c r="AV185" i="3"/>
  <c r="AV186" i="3"/>
  <c r="AV187" i="3"/>
  <c r="AV188" i="3"/>
  <c r="AV189" i="3"/>
  <c r="AV190" i="3"/>
  <c r="AV191" i="3"/>
  <c r="AV193" i="3"/>
  <c r="AV194" i="3"/>
  <c r="AV197" i="3"/>
  <c r="AV199" i="3"/>
  <c r="AV203" i="3"/>
  <c r="AV205" i="3"/>
  <c r="AV206" i="3"/>
  <c r="AV207" i="3"/>
  <c r="AV208" i="3"/>
  <c r="AV209" i="3"/>
  <c r="AV210" i="3"/>
  <c r="AV211" i="3"/>
  <c r="AV212" i="3"/>
  <c r="AV215" i="3"/>
  <c r="AV217" i="3"/>
  <c r="AV221" i="3"/>
  <c r="AV222" i="3"/>
  <c r="AV226" i="3"/>
  <c r="AV227" i="3"/>
  <c r="AV228" i="3"/>
  <c r="AV229" i="3"/>
  <c r="AV230" i="3"/>
  <c r="AV231" i="3"/>
  <c r="AV233" i="3"/>
  <c r="AV234" i="3"/>
  <c r="AV236" i="3"/>
  <c r="AV239" i="3"/>
  <c r="AV241" i="3"/>
  <c r="AV242" i="3"/>
  <c r="AV243" i="3"/>
  <c r="AV245" i="3"/>
  <c r="AV249" i="3"/>
  <c r="AV250" i="3"/>
  <c r="AV253" i="3"/>
  <c r="AV255" i="3"/>
  <c r="AV256" i="3"/>
  <c r="AV257" i="3"/>
  <c r="AV260" i="3"/>
  <c r="AV261" i="3"/>
  <c r="AV262" i="3"/>
  <c r="AV263" i="3"/>
  <c r="AV264" i="3"/>
  <c r="AV265" i="3"/>
  <c r="AV266" i="3"/>
  <c r="AV270" i="3"/>
  <c r="AV272" i="3"/>
  <c r="AV274" i="3"/>
  <c r="AV276" i="3"/>
  <c r="AV281" i="3"/>
  <c r="AV283" i="3"/>
  <c r="AP3" i="3"/>
  <c r="AP4" i="3"/>
  <c r="AP5" i="3"/>
  <c r="AP6" i="3"/>
  <c r="AP7" i="3"/>
  <c r="AP8" i="3"/>
  <c r="AP9" i="3"/>
  <c r="AP10" i="3"/>
  <c r="AP11" i="3"/>
  <c r="AP13" i="3"/>
  <c r="AP14" i="3"/>
  <c r="AP15" i="3"/>
  <c r="AP17" i="3"/>
  <c r="AP18" i="3"/>
  <c r="AP19" i="3"/>
  <c r="AP20" i="3"/>
  <c r="AP21" i="3"/>
  <c r="AP22" i="3"/>
  <c r="AP23" i="3"/>
  <c r="AP24" i="3"/>
  <c r="AP25" i="3"/>
  <c r="AP26" i="3"/>
  <c r="AP29" i="3"/>
  <c r="AP30" i="3"/>
  <c r="AP31" i="3"/>
  <c r="AP33" i="3"/>
  <c r="AP34" i="3"/>
  <c r="AP35" i="3"/>
  <c r="AP36" i="3"/>
  <c r="AP38" i="3"/>
  <c r="AP39" i="3"/>
  <c r="AP40" i="3"/>
  <c r="AP41" i="3"/>
  <c r="AP42" i="3"/>
  <c r="AP43" i="3"/>
  <c r="AP44" i="3"/>
  <c r="AP45" i="3"/>
  <c r="AP46" i="3"/>
  <c r="AP47" i="3"/>
  <c r="AP48" i="3"/>
  <c r="AP49" i="3"/>
  <c r="AP50" i="3"/>
  <c r="AP52" i="3"/>
  <c r="AP53" i="3"/>
  <c r="AP55" i="3"/>
  <c r="AP56" i="3"/>
  <c r="AP57" i="3"/>
  <c r="AP58" i="3"/>
  <c r="AP59" i="3"/>
  <c r="AP60" i="3"/>
  <c r="AP62" i="3"/>
  <c r="AP63" i="3"/>
  <c r="AP64" i="3"/>
  <c r="AP65" i="3"/>
  <c r="AP66" i="3"/>
  <c r="AP67" i="3"/>
  <c r="AP68" i="3"/>
  <c r="AP69" i="3"/>
  <c r="AP70" i="3"/>
  <c r="AP71" i="3"/>
  <c r="AP72" i="3"/>
  <c r="AP73" i="3"/>
  <c r="AP74" i="3"/>
  <c r="AP75" i="3"/>
  <c r="AP76" i="3"/>
  <c r="AP77" i="3"/>
  <c r="AP78" i="3"/>
  <c r="AP79" i="3"/>
  <c r="AP80" i="3"/>
  <c r="AP81" i="3"/>
  <c r="AP82" i="3"/>
  <c r="AP84" i="3"/>
  <c r="AP85" i="3"/>
  <c r="AP86" i="3"/>
  <c r="AP87" i="3"/>
  <c r="AP88" i="3"/>
  <c r="AP90" i="3"/>
  <c r="AP91" i="3"/>
  <c r="AP92" i="3"/>
  <c r="AP93" i="3"/>
  <c r="AP94" i="3"/>
  <c r="AP95" i="3"/>
  <c r="AP96" i="3"/>
  <c r="AP97" i="3"/>
  <c r="AP99" i="3"/>
  <c r="AP100" i="3"/>
  <c r="AP101" i="3"/>
  <c r="AP102" i="3"/>
  <c r="AP103" i="3"/>
  <c r="AP104" i="3"/>
  <c r="AP105" i="3"/>
  <c r="AP106" i="3"/>
  <c r="AP107" i="3"/>
  <c r="AP108" i="3"/>
  <c r="AP109" i="3"/>
  <c r="AP110" i="3"/>
  <c r="AP112" i="3"/>
  <c r="AP114" i="3"/>
  <c r="AP115" i="3"/>
  <c r="AP116" i="3"/>
  <c r="AP117" i="3"/>
  <c r="AP118" i="3"/>
  <c r="AP119" i="3"/>
  <c r="AP120" i="3"/>
  <c r="AP121" i="3"/>
  <c r="AP122" i="3"/>
  <c r="AP123" i="3"/>
  <c r="AP124" i="3"/>
  <c r="AP127" i="3"/>
  <c r="AP128" i="3"/>
  <c r="AP129" i="3"/>
  <c r="AP130" i="3"/>
  <c r="AP131" i="3"/>
  <c r="AP132" i="3"/>
  <c r="AP134" i="3"/>
  <c r="AP137" i="3"/>
  <c r="AP138" i="3"/>
  <c r="AP139" i="3"/>
  <c r="AP140" i="3"/>
  <c r="AP141" i="3"/>
  <c r="AP142" i="3"/>
  <c r="AP143" i="3"/>
  <c r="AP144" i="3"/>
  <c r="AP145" i="3"/>
  <c r="AP146" i="3"/>
  <c r="AP147" i="3"/>
  <c r="AP148" i="3"/>
  <c r="AP150" i="3"/>
  <c r="AP151" i="3"/>
  <c r="AP152" i="3"/>
  <c r="AP153" i="3"/>
  <c r="AP154" i="3"/>
  <c r="AP155" i="3"/>
  <c r="AP156" i="3"/>
  <c r="AP158" i="3"/>
  <c r="AP159" i="3"/>
  <c r="AP160" i="3"/>
  <c r="AP161" i="3"/>
  <c r="AP162" i="3"/>
  <c r="AP163" i="3"/>
  <c r="AP164" i="3"/>
  <c r="AP165" i="3"/>
  <c r="AP167" i="3"/>
  <c r="AP168" i="3"/>
  <c r="AP169" i="3"/>
  <c r="AP170" i="3"/>
  <c r="AP171" i="3"/>
  <c r="AP172" i="3"/>
  <c r="AP173" i="3"/>
  <c r="AP174" i="3"/>
  <c r="AP175" i="3"/>
  <c r="AP177" i="3"/>
  <c r="AP178" i="3"/>
  <c r="AP179" i="3"/>
  <c r="AP180" i="3"/>
  <c r="AP181" i="3"/>
  <c r="AP182" i="3"/>
  <c r="AP183" i="3"/>
  <c r="AP184" i="3"/>
  <c r="AP185" i="3"/>
  <c r="AP186" i="3"/>
  <c r="AP187" i="3"/>
  <c r="AP188" i="3"/>
  <c r="AP189" i="3"/>
  <c r="AP190" i="3"/>
  <c r="AP191" i="3"/>
  <c r="AP192" i="3"/>
  <c r="AP193" i="3"/>
  <c r="AP195" i="3"/>
  <c r="AP196" i="3"/>
  <c r="AP197" i="3"/>
  <c r="AP198" i="3"/>
  <c r="AP199" i="3"/>
  <c r="AP201" i="3"/>
  <c r="AP202" i="3"/>
  <c r="AP203" i="3"/>
  <c r="AP204" i="3"/>
  <c r="AP205" i="3"/>
  <c r="AP206" i="3"/>
  <c r="AP207" i="3"/>
  <c r="AP208" i="3"/>
  <c r="AP209" i="3"/>
  <c r="AP211" i="3"/>
  <c r="AP213" i="3"/>
  <c r="AP214" i="3"/>
  <c r="AP215" i="3"/>
  <c r="AP216" i="3"/>
  <c r="AP217" i="3"/>
  <c r="AP218" i="3"/>
  <c r="AP219" i="3"/>
  <c r="AP220" i="3"/>
  <c r="AP221" i="3"/>
  <c r="AP222" i="3"/>
  <c r="AP223" i="3"/>
  <c r="AP225" i="3"/>
  <c r="AP226" i="3"/>
  <c r="AP227" i="3"/>
  <c r="AP228" i="3"/>
  <c r="AP229" i="3"/>
  <c r="AP231" i="3"/>
  <c r="AP232" i="3"/>
  <c r="AP233" i="3"/>
  <c r="AP234" i="3"/>
  <c r="AP235" i="3"/>
  <c r="AP236" i="3"/>
  <c r="AP237" i="3"/>
  <c r="AP238" i="3"/>
  <c r="AP239" i="3"/>
  <c r="AP241" i="3"/>
  <c r="AP242" i="3"/>
  <c r="AP243" i="3"/>
  <c r="AP244" i="3"/>
  <c r="AP246" i="3"/>
  <c r="AP247" i="3"/>
  <c r="AP248" i="3"/>
  <c r="AP249" i="3"/>
  <c r="AP250" i="3"/>
  <c r="AP251" i="3"/>
  <c r="AP252" i="3"/>
  <c r="AP253" i="3"/>
  <c r="AP254" i="3"/>
  <c r="AP255" i="3"/>
  <c r="AP256" i="3"/>
  <c r="AP257" i="3"/>
  <c r="AP258" i="3"/>
  <c r="AP259" i="3"/>
  <c r="AP260" i="3"/>
  <c r="AP261" i="3"/>
  <c r="AP262" i="3"/>
  <c r="AP263" i="3"/>
  <c r="AP265" i="3"/>
  <c r="AP266" i="3"/>
  <c r="AP267" i="3"/>
  <c r="AP268" i="3"/>
  <c r="AP269" i="3"/>
  <c r="AP270" i="3"/>
  <c r="AP271" i="3"/>
  <c r="AP273" i="3"/>
  <c r="AP275" i="3"/>
  <c r="AP276" i="3"/>
  <c r="AP277" i="3"/>
  <c r="AP278" i="3"/>
  <c r="AP279" i="3"/>
  <c r="AP280" i="3"/>
  <c r="AP281" i="3"/>
  <c r="AP282" i="3"/>
  <c r="AP283" i="3"/>
  <c r="AP284" i="3"/>
  <c r="AP285" i="3"/>
  <c r="AM8" i="3"/>
  <c r="AM9" i="3"/>
  <c r="AM11" i="3"/>
  <c r="AM13" i="3"/>
  <c r="AM17" i="3"/>
  <c r="AM18" i="3"/>
  <c r="AM22" i="3"/>
  <c r="AM23" i="3"/>
  <c r="AM25" i="3"/>
  <c r="AM31" i="3"/>
  <c r="AM32" i="3"/>
  <c r="AM33" i="3"/>
  <c r="AM34" i="3"/>
  <c r="AM35" i="3"/>
  <c r="AM38" i="3"/>
  <c r="AM39" i="3"/>
  <c r="AM40" i="3"/>
  <c r="AM42" i="3"/>
  <c r="AM45" i="3"/>
  <c r="AM47" i="3"/>
  <c r="AM50" i="3"/>
  <c r="AM56" i="3"/>
  <c r="AM57" i="3"/>
  <c r="AM58" i="3"/>
  <c r="AM59" i="3"/>
  <c r="AM60" i="3"/>
  <c r="AM63" i="3"/>
  <c r="AM64" i="3"/>
  <c r="AM65" i="3"/>
  <c r="AM66" i="3"/>
  <c r="AM67" i="3"/>
  <c r="AM68" i="3"/>
  <c r="AM73" i="3"/>
  <c r="AM75" i="3"/>
  <c r="AM78" i="3"/>
  <c r="AM80" i="3"/>
  <c r="AM81" i="3"/>
  <c r="AM84" i="3"/>
  <c r="AM85" i="3"/>
  <c r="AM90" i="3"/>
  <c r="AM92" i="3"/>
  <c r="AM93" i="3"/>
  <c r="AM99" i="3"/>
  <c r="AM102" i="3"/>
  <c r="AM105" i="3"/>
  <c r="AM106" i="3"/>
  <c r="AM107" i="3"/>
  <c r="AM119" i="3"/>
  <c r="AM120" i="3"/>
  <c r="AM122" i="3"/>
  <c r="AM127" i="3"/>
  <c r="AM128" i="3"/>
  <c r="AM129" i="3"/>
  <c r="AM130" i="3"/>
  <c r="AM134" i="3"/>
  <c r="AM137" i="3"/>
  <c r="AM139" i="3"/>
  <c r="AM140" i="3"/>
  <c r="AM142" i="3"/>
  <c r="AM143" i="3"/>
  <c r="AM144" i="3"/>
  <c r="AM147" i="3"/>
  <c r="AM151" i="3"/>
  <c r="AM153" i="3"/>
  <c r="AM155" i="3"/>
  <c r="AM156" i="3"/>
  <c r="AM158" i="3"/>
  <c r="AM160" i="3"/>
  <c r="AM161" i="3"/>
  <c r="AM162" i="3"/>
  <c r="AM163" i="3"/>
  <c r="AM164" i="3"/>
  <c r="AM167" i="3"/>
  <c r="AM171" i="3"/>
  <c r="AM180" i="3"/>
  <c r="AM181" i="3"/>
  <c r="AM188" i="3"/>
  <c r="AM190" i="3"/>
  <c r="AM195" i="3"/>
  <c r="AM197" i="3"/>
  <c r="AM205" i="3"/>
  <c r="AM207" i="3"/>
  <c r="AM210" i="3"/>
  <c r="AM212" i="3"/>
  <c r="AM216" i="3"/>
  <c r="AM218" i="3"/>
  <c r="AM219" i="3"/>
  <c r="AM221" i="3"/>
  <c r="AM227" i="3"/>
  <c r="AM230" i="3"/>
  <c r="AM233" i="3"/>
  <c r="AM236" i="3"/>
  <c r="AM242" i="3"/>
  <c r="AM246" i="3"/>
  <c r="AM250" i="3"/>
  <c r="AM258" i="3"/>
  <c r="AM259" i="3"/>
  <c r="AM263" i="3"/>
  <c r="AM266" i="3"/>
  <c r="AM268" i="3"/>
  <c r="AM271" i="3"/>
  <c r="AM279" i="3"/>
  <c r="AM281" i="3"/>
  <c r="AM282" i="3"/>
  <c r="AM284" i="3"/>
  <c r="AK53" i="3"/>
  <c r="AK59" i="3"/>
  <c r="BB265" i="1"/>
  <c r="Z293" i="1"/>
  <c r="Z292" i="1"/>
  <c r="Z289" i="1"/>
  <c r="Z287" i="1"/>
  <c r="Z282" i="1"/>
  <c r="Z277" i="1"/>
  <c r="Z276" i="1"/>
  <c r="Z275" i="1"/>
  <c r="Z273" i="1"/>
  <c r="Z270" i="1"/>
  <c r="Z269" i="1"/>
  <c r="Z265" i="1"/>
  <c r="Z263" i="1"/>
  <c r="Z262" i="1"/>
  <c r="Z260" i="1"/>
  <c r="Z259" i="1"/>
  <c r="Z264" i="1"/>
  <c r="Z258" i="1"/>
  <c r="Z257" i="1"/>
  <c r="Z256" i="1"/>
  <c r="Z255" i="1"/>
  <c r="Z253" i="1"/>
  <c r="Z251" i="1"/>
  <c r="Z283" i="1"/>
  <c r="Z250" i="1"/>
  <c r="Z249" i="1"/>
  <c r="Z246" i="1"/>
  <c r="Z240" i="1"/>
  <c r="Z239" i="1"/>
  <c r="Z229" i="1"/>
  <c r="Z230" i="1"/>
  <c r="Z231" i="1"/>
  <c r="Z232" i="1"/>
  <c r="Z233" i="1"/>
  <c r="Z234" i="1"/>
  <c r="Z224" i="1"/>
  <c r="Z235" i="1"/>
  <c r="Z225" i="1"/>
  <c r="Z236" i="1"/>
  <c r="Z237" i="1"/>
  <c r="Z226" i="1"/>
  <c r="Z227" i="1"/>
  <c r="Z228" i="1"/>
  <c r="Z222" i="1"/>
  <c r="Z219" i="1"/>
  <c r="Z267" i="1"/>
  <c r="Z218" i="1"/>
  <c r="Z217" i="1"/>
  <c r="Z215" i="1"/>
  <c r="Z216" i="1"/>
  <c r="Z213" i="1"/>
  <c r="Z212" i="1"/>
  <c r="Z272" i="1"/>
  <c r="Z211" i="1"/>
  <c r="Z208" i="1"/>
  <c r="Z207" i="1"/>
  <c r="Z206" i="1"/>
  <c r="Z210" i="1"/>
  <c r="Z205" i="1"/>
  <c r="Z268" i="1"/>
  <c r="Z266" i="1"/>
  <c r="Z280" i="1"/>
  <c r="Z278" i="1"/>
  <c r="Z201" i="1"/>
  <c r="Z204" i="1"/>
  <c r="Z200" i="1"/>
  <c r="Z288" i="1"/>
  <c r="Z290" i="1"/>
  <c r="Z198" i="1"/>
  <c r="Z197" i="1"/>
  <c r="Z196" i="1"/>
  <c r="Z195" i="1"/>
  <c r="Z199" i="1"/>
  <c r="Z194" i="1"/>
  <c r="Z193" i="1"/>
  <c r="Z202" i="1"/>
  <c r="Z188" i="1"/>
  <c r="Z189" i="1"/>
  <c r="Z190" i="1"/>
  <c r="Z186" i="1"/>
  <c r="Z185" i="1"/>
  <c r="Z184" i="1"/>
  <c r="Z183" i="1"/>
  <c r="Z181" i="1"/>
  <c r="Z241" i="1"/>
  <c r="Z179" i="1"/>
  <c r="Z178" i="1"/>
  <c r="Z248" i="1"/>
  <c r="Z203" i="1"/>
  <c r="Z177" i="1"/>
  <c r="Z176" i="1"/>
  <c r="Z173" i="1"/>
  <c r="Z174" i="1"/>
  <c r="Z175" i="1"/>
  <c r="Z191" i="1"/>
  <c r="Z169" i="1"/>
  <c r="Z192" i="1"/>
  <c r="Z170" i="1"/>
  <c r="Z171" i="1"/>
  <c r="Z279" i="1"/>
  <c r="Z168" i="1"/>
  <c r="Z167" i="1"/>
  <c r="Z166" i="1"/>
  <c r="Z165" i="1"/>
  <c r="Z164" i="1"/>
  <c r="Z162" i="1"/>
  <c r="Z163" i="1"/>
  <c r="Z161" i="1"/>
  <c r="Z160" i="1"/>
  <c r="Z159" i="1"/>
  <c r="Z158" i="1"/>
  <c r="Z157" i="1"/>
  <c r="Z156" i="1"/>
  <c r="Z155" i="1"/>
  <c r="Z154" i="1"/>
  <c r="Z151" i="1"/>
  <c r="Z152" i="1"/>
  <c r="Z153" i="1"/>
  <c r="Z150" i="1"/>
  <c r="Z149" i="1"/>
  <c r="Z148" i="1"/>
  <c r="Z147" i="1"/>
  <c r="Z146" i="1"/>
  <c r="Z145" i="1"/>
  <c r="Z144" i="1"/>
  <c r="Z143" i="1"/>
  <c r="Z141" i="1"/>
  <c r="Z140" i="1"/>
  <c r="Z139" i="1"/>
  <c r="Z138" i="1"/>
  <c r="Z137" i="1"/>
  <c r="Z136" i="1"/>
  <c r="Z135" i="1"/>
  <c r="Z134" i="1"/>
  <c r="Z133" i="1"/>
  <c r="Z132" i="1"/>
  <c r="Z131" i="1"/>
  <c r="Z130" i="1"/>
  <c r="Z281" i="1"/>
  <c r="Z261" i="1"/>
  <c r="Z245" i="1"/>
  <c r="Z180" i="1"/>
  <c r="Z172" i="1"/>
  <c r="Z129" i="1"/>
  <c r="Z128" i="1"/>
  <c r="Z127" i="1"/>
  <c r="Z126" i="1"/>
  <c r="Z125" i="1"/>
  <c r="Z123" i="1"/>
  <c r="Z242" i="1"/>
  <c r="Z122" i="1"/>
  <c r="Z271" i="1"/>
  <c r="Z286" i="1"/>
  <c r="Z247" i="1"/>
  <c r="Z209" i="1"/>
  <c r="Z121" i="1"/>
  <c r="Z274" i="1"/>
  <c r="Z254" i="1"/>
  <c r="Z244" i="1"/>
  <c r="Z243" i="1"/>
  <c r="Z223" i="1"/>
  <c r="Z182" i="1"/>
  <c r="Z120" i="1"/>
  <c r="Z119" i="1"/>
  <c r="Z118" i="1"/>
  <c r="Z117" i="1"/>
  <c r="Z116" i="1"/>
  <c r="Z115" i="1"/>
  <c r="Z111" i="1"/>
  <c r="Z109" i="1"/>
  <c r="Z110" i="1"/>
  <c r="Z108" i="1"/>
  <c r="Z107" i="1"/>
  <c r="Z104" i="1"/>
  <c r="Z124" i="1"/>
  <c r="Z102" i="1"/>
  <c r="Z101" i="1"/>
  <c r="Z100" i="1"/>
  <c r="Z99" i="1"/>
  <c r="Z98" i="1"/>
  <c r="Z97" i="1"/>
  <c r="Z96" i="1"/>
  <c r="Z95" i="1"/>
  <c r="Z91" i="1"/>
  <c r="Z89" i="1"/>
  <c r="Z83" i="1"/>
  <c r="Z82" i="1"/>
  <c r="Z112" i="1"/>
  <c r="Z90" i="1"/>
  <c r="Z72" i="1"/>
  <c r="Z55" i="1"/>
  <c r="Z56" i="1"/>
  <c r="Z57" i="1"/>
  <c r="Z252" i="1"/>
  <c r="Z238" i="1"/>
  <c r="Z142" i="1"/>
  <c r="Z291" i="1"/>
  <c r="Z285" i="1"/>
  <c r="Z221" i="1"/>
  <c r="Z220" i="1"/>
  <c r="Z54" i="1"/>
  <c r="Z51" i="1"/>
  <c r="Z52" i="1"/>
  <c r="Z53" i="1"/>
  <c r="Z105" i="1"/>
  <c r="Z106" i="1"/>
  <c r="Z80" i="1"/>
  <c r="Z77" i="1"/>
  <c r="Z81" i="1"/>
  <c r="Z78" i="1"/>
  <c r="Z73" i="1"/>
  <c r="Z74" i="1"/>
  <c r="Z75" i="1"/>
  <c r="Z76" i="1"/>
  <c r="Z70" i="1"/>
  <c r="Z71" i="1"/>
  <c r="Z63" i="1"/>
  <c r="Z42" i="1"/>
  <c r="Z64" i="1"/>
  <c r="Z43" i="1"/>
  <c r="Z58" i="1"/>
  <c r="Z35" i="1"/>
  <c r="Z29" i="1"/>
  <c r="Z28" i="1"/>
  <c r="Z59" i="1"/>
  <c r="Z37" i="1"/>
  <c r="Z23" i="1"/>
  <c r="Z60" i="1"/>
  <c r="Z38" i="1"/>
  <c r="Z24" i="1"/>
  <c r="Z61" i="1"/>
  <c r="Z39" i="1"/>
  <c r="Z25" i="1"/>
  <c r="Z62" i="1"/>
  <c r="Z40" i="1"/>
  <c r="Z26" i="1"/>
  <c r="Z27" i="1"/>
  <c r="Z22" i="1"/>
  <c r="Z21" i="1"/>
  <c r="Z20" i="1"/>
  <c r="Z214" i="1"/>
  <c r="Z18" i="1"/>
  <c r="Z19" i="1"/>
  <c r="Z17" i="1"/>
  <c r="Z16" i="1"/>
  <c r="Z15" i="1"/>
  <c r="Z14" i="1"/>
  <c r="Z13" i="1"/>
  <c r="Z187" i="1"/>
  <c r="Z103" i="1"/>
  <c r="Z12" i="1"/>
  <c r="Z11" i="1"/>
  <c r="Z10" i="1"/>
  <c r="Z284" i="1"/>
  <c r="Z9" i="1"/>
  <c r="Z8" i="1"/>
  <c r="Z65" i="1"/>
  <c r="Z45" i="1"/>
  <c r="Z30" i="1"/>
  <c r="Z3" i="1"/>
  <c r="Z66" i="1"/>
  <c r="Z46" i="1"/>
  <c r="Z31" i="1"/>
  <c r="Z4" i="1"/>
  <c r="Z67" i="1"/>
  <c r="Z47" i="1"/>
  <c r="Z32" i="1"/>
  <c r="Z5" i="1"/>
  <c r="Z114" i="1"/>
  <c r="Z113" i="1"/>
  <c r="Z94" i="1"/>
  <c r="Z93" i="1"/>
  <c r="Z92" i="1"/>
  <c r="Z88" i="1"/>
  <c r="Z87" i="1"/>
  <c r="Z86" i="1"/>
  <c r="Z85" i="1"/>
  <c r="Z84" i="1"/>
  <c r="Z79" i="1"/>
  <c r="Z68" i="1"/>
  <c r="Z69" i="1"/>
  <c r="Z48" i="1"/>
  <c r="Z49" i="1"/>
  <c r="Z50" i="1"/>
  <c r="Z44" i="1"/>
  <c r="Z41" i="1"/>
  <c r="Z36" i="1"/>
  <c r="Z33" i="1"/>
  <c r="Z6" i="1"/>
  <c r="Z34" i="1"/>
  <c r="Z7" i="1"/>
  <c r="V293" i="1"/>
  <c r="V292" i="1"/>
  <c r="V289" i="1"/>
  <c r="V287" i="1"/>
  <c r="V282" i="1"/>
  <c r="V277" i="1"/>
  <c r="V276" i="1"/>
  <c r="V275" i="1"/>
  <c r="V273" i="1"/>
  <c r="V270" i="1"/>
  <c r="V269" i="1"/>
  <c r="V265" i="1"/>
  <c r="V263" i="1"/>
  <c r="V262" i="1"/>
  <c r="V260" i="1"/>
  <c r="V259" i="1"/>
  <c r="V264" i="1"/>
  <c r="V258" i="1"/>
  <c r="V257" i="1"/>
  <c r="V256" i="1"/>
  <c r="V255" i="1"/>
  <c r="V253" i="1"/>
  <c r="V251" i="1"/>
  <c r="V283" i="1"/>
  <c r="V250" i="1"/>
  <c r="V249" i="1"/>
  <c r="V246" i="1"/>
  <c r="V240" i="1"/>
  <c r="V239" i="1"/>
  <c r="V229" i="1"/>
  <c r="V230" i="1"/>
  <c r="V231" i="1"/>
  <c r="V232" i="1"/>
  <c r="V233" i="1"/>
  <c r="V234" i="1"/>
  <c r="V224" i="1"/>
  <c r="V235" i="1"/>
  <c r="V225" i="1"/>
  <c r="V236" i="1"/>
  <c r="V237" i="1"/>
  <c r="V226" i="1"/>
  <c r="V227" i="1"/>
  <c r="V228" i="1"/>
  <c r="V222" i="1"/>
  <c r="V219" i="1"/>
  <c r="V267" i="1"/>
  <c r="V218" i="1"/>
  <c r="V217" i="1"/>
  <c r="V215" i="1"/>
  <c r="V216" i="1"/>
  <c r="V213" i="1"/>
  <c r="V212" i="1"/>
  <c r="V272" i="1"/>
  <c r="V211" i="1"/>
  <c r="V208" i="1"/>
  <c r="V207" i="1"/>
  <c r="V206" i="1"/>
  <c r="V210" i="1"/>
  <c r="V205" i="1"/>
  <c r="V268" i="1"/>
  <c r="V266" i="1"/>
  <c r="V280" i="1"/>
  <c r="V278" i="1"/>
  <c r="V201" i="1"/>
  <c r="V204" i="1"/>
  <c r="V200" i="1"/>
  <c r="V288" i="1"/>
  <c r="V290" i="1"/>
  <c r="V198" i="1"/>
  <c r="V197" i="1"/>
  <c r="V196" i="1"/>
  <c r="V195" i="1"/>
  <c r="V199" i="1"/>
  <c r="V194" i="1"/>
  <c r="V193" i="1"/>
  <c r="V202" i="1"/>
  <c r="V188" i="1"/>
  <c r="V189" i="1"/>
  <c r="V190" i="1"/>
  <c r="V186" i="1"/>
  <c r="V185" i="1"/>
  <c r="V184" i="1"/>
  <c r="V183" i="1"/>
  <c r="V181" i="1"/>
  <c r="V241" i="1"/>
  <c r="V179" i="1"/>
  <c r="V178" i="1"/>
  <c r="V248" i="1"/>
  <c r="V203" i="1"/>
  <c r="V177" i="1"/>
  <c r="V176" i="1"/>
  <c r="V173" i="1"/>
  <c r="V174" i="1"/>
  <c r="V175" i="1"/>
  <c r="V191" i="1"/>
  <c r="V169" i="1"/>
  <c r="V192" i="1"/>
  <c r="V170" i="1"/>
  <c r="V171" i="1"/>
  <c r="V279" i="1"/>
  <c r="V168" i="1"/>
  <c r="V167" i="1"/>
  <c r="V166" i="1"/>
  <c r="V165" i="1"/>
  <c r="V164" i="1"/>
  <c r="V162" i="1"/>
  <c r="V163" i="1"/>
  <c r="V161" i="1"/>
  <c r="V160" i="1"/>
  <c r="V159" i="1"/>
  <c r="V158" i="1"/>
  <c r="V157" i="1"/>
  <c r="V156" i="1"/>
  <c r="V155" i="1"/>
  <c r="V154" i="1"/>
  <c r="V151" i="1"/>
  <c r="V152" i="1"/>
  <c r="V153" i="1"/>
  <c r="V150" i="1"/>
  <c r="V149" i="1"/>
  <c r="V148" i="1"/>
  <c r="V147" i="1"/>
  <c r="V146" i="1"/>
  <c r="V145" i="1"/>
  <c r="V144" i="1"/>
  <c r="V143" i="1"/>
  <c r="V141" i="1"/>
  <c r="V140" i="1"/>
  <c r="V139" i="1"/>
  <c r="V138" i="1"/>
  <c r="V137" i="1"/>
  <c r="V136" i="1"/>
  <c r="V135" i="1"/>
  <c r="V134" i="1"/>
  <c r="V133" i="1"/>
  <c r="V132" i="1"/>
  <c r="V131" i="1"/>
  <c r="V130" i="1"/>
  <c r="V281" i="1"/>
  <c r="V261" i="1"/>
  <c r="V245" i="1"/>
  <c r="V180" i="1"/>
  <c r="V172" i="1"/>
  <c r="V129" i="1"/>
  <c r="V128" i="1"/>
  <c r="V127" i="1"/>
  <c r="V126" i="1"/>
  <c r="V125" i="1"/>
  <c r="V123" i="1"/>
  <c r="V242" i="1"/>
  <c r="V122" i="1"/>
  <c r="V271" i="1"/>
  <c r="V286" i="1"/>
  <c r="V247" i="1"/>
  <c r="V209" i="1"/>
  <c r="V121" i="1"/>
  <c r="V274" i="1"/>
  <c r="V254" i="1"/>
  <c r="V244" i="1"/>
  <c r="V243" i="1"/>
  <c r="V223" i="1"/>
  <c r="V182" i="1"/>
  <c r="V120" i="1"/>
  <c r="V119" i="1"/>
  <c r="V118" i="1"/>
  <c r="V117" i="1"/>
  <c r="V116" i="1"/>
  <c r="V115" i="1"/>
  <c r="V111" i="1"/>
  <c r="V109" i="1"/>
  <c r="V110" i="1"/>
  <c r="V108" i="1"/>
  <c r="V107" i="1"/>
  <c r="V104" i="1"/>
  <c r="V124" i="1"/>
  <c r="V102" i="1"/>
  <c r="V101" i="1"/>
  <c r="V100" i="1"/>
  <c r="V99" i="1"/>
  <c r="V98" i="1"/>
  <c r="V97" i="1"/>
  <c r="V96" i="1"/>
  <c r="V95" i="1"/>
  <c r="V91" i="1"/>
  <c r="V89" i="1"/>
  <c r="V83" i="1"/>
  <c r="V82" i="1"/>
  <c r="V112" i="1"/>
  <c r="V90" i="1"/>
  <c r="V72" i="1"/>
  <c r="V55" i="1"/>
  <c r="V56" i="1"/>
  <c r="V57" i="1"/>
  <c r="V252" i="1"/>
  <c r="V238" i="1"/>
  <c r="V142" i="1"/>
  <c r="V291" i="1"/>
  <c r="V285" i="1"/>
  <c r="V221" i="1"/>
  <c r="V220" i="1"/>
  <c r="V54" i="1"/>
  <c r="V51" i="1"/>
  <c r="V52" i="1"/>
  <c r="V53" i="1"/>
  <c r="V105" i="1"/>
  <c r="V106" i="1"/>
  <c r="V80" i="1"/>
  <c r="V77" i="1"/>
  <c r="V81" i="1"/>
  <c r="V78" i="1"/>
  <c r="V73" i="1"/>
  <c r="V74" i="1"/>
  <c r="V75" i="1"/>
  <c r="V76" i="1"/>
  <c r="V70" i="1"/>
  <c r="V71" i="1"/>
  <c r="V63" i="1"/>
  <c r="V42" i="1"/>
  <c r="V64" i="1"/>
  <c r="V43" i="1"/>
  <c r="V58" i="1"/>
  <c r="V35" i="1"/>
  <c r="V29" i="1"/>
  <c r="V28" i="1"/>
  <c r="V59" i="1"/>
  <c r="V37" i="1"/>
  <c r="V23" i="1"/>
  <c r="V60" i="1"/>
  <c r="V38" i="1"/>
  <c r="V24" i="1"/>
  <c r="V61" i="1"/>
  <c r="V39" i="1"/>
  <c r="V25" i="1"/>
  <c r="V62" i="1"/>
  <c r="V40" i="1"/>
  <c r="V26" i="1"/>
  <c r="V27" i="1"/>
  <c r="V22" i="1"/>
  <c r="V21" i="1"/>
  <c r="V20" i="1"/>
  <c r="V214" i="1"/>
  <c r="V18" i="1"/>
  <c r="V19" i="1"/>
  <c r="V17" i="1"/>
  <c r="V16" i="1"/>
  <c r="V15" i="1"/>
  <c r="V14" i="1"/>
  <c r="V13" i="1"/>
  <c r="V187" i="1"/>
  <c r="V103" i="1"/>
  <c r="V12" i="1"/>
  <c r="V11" i="1"/>
  <c r="V10" i="1"/>
  <c r="V284" i="1"/>
  <c r="V9" i="1"/>
  <c r="V8" i="1"/>
  <c r="V65" i="1"/>
  <c r="V45" i="1"/>
  <c r="V30" i="1"/>
  <c r="V3" i="1"/>
  <c r="V66" i="1"/>
  <c r="V46" i="1"/>
  <c r="V31" i="1"/>
  <c r="V4" i="1"/>
  <c r="V67" i="1"/>
  <c r="V47" i="1"/>
  <c r="V32" i="1"/>
  <c r="V5" i="1"/>
  <c r="V114" i="1"/>
  <c r="V113" i="1"/>
  <c r="V94" i="1"/>
  <c r="V93" i="1"/>
  <c r="V92" i="1"/>
  <c r="V88" i="1"/>
  <c r="V87" i="1"/>
  <c r="V86" i="1"/>
  <c r="V85" i="1"/>
  <c r="V84" i="1"/>
  <c r="V79" i="1"/>
  <c r="V68" i="1"/>
  <c r="V69" i="1"/>
  <c r="V48" i="1"/>
  <c r="V49" i="1"/>
  <c r="V50" i="1"/>
  <c r="V44" i="1"/>
  <c r="V41" i="1"/>
  <c r="V36" i="1"/>
  <c r="V33" i="1"/>
  <c r="V6" i="1"/>
  <c r="V34" i="1"/>
  <c r="V7" i="1"/>
  <c r="U293" i="1"/>
  <c r="U287" i="1"/>
  <c r="U277" i="1"/>
  <c r="U276" i="1"/>
  <c r="U273" i="1"/>
  <c r="U269" i="1"/>
  <c r="U263" i="1"/>
  <c r="U262" i="1"/>
  <c r="U264" i="1"/>
  <c r="U258" i="1"/>
  <c r="U257" i="1"/>
  <c r="U256" i="1"/>
  <c r="U255" i="1"/>
  <c r="U253" i="1"/>
  <c r="U251" i="1"/>
  <c r="U250" i="1"/>
  <c r="U240" i="1"/>
  <c r="U229" i="1"/>
  <c r="U230" i="1"/>
  <c r="U231" i="1"/>
  <c r="U232" i="1"/>
  <c r="U233" i="1"/>
  <c r="U234" i="1"/>
  <c r="U224" i="1"/>
  <c r="U235" i="1"/>
  <c r="U225" i="1"/>
  <c r="U236" i="1"/>
  <c r="U237" i="1"/>
  <c r="U226" i="1"/>
  <c r="U227" i="1"/>
  <c r="U228" i="1"/>
  <c r="U219" i="1"/>
  <c r="U267" i="1"/>
  <c r="U212" i="1"/>
  <c r="U272" i="1"/>
  <c r="U211" i="1"/>
  <c r="U210" i="1"/>
  <c r="U268" i="1"/>
  <c r="U266" i="1"/>
  <c r="U278" i="1"/>
  <c r="U200" i="1"/>
  <c r="U197" i="1"/>
  <c r="U196" i="1"/>
  <c r="U195" i="1"/>
  <c r="U199" i="1"/>
  <c r="U194" i="1"/>
  <c r="U193" i="1"/>
  <c r="U202" i="1"/>
  <c r="U241" i="1"/>
  <c r="U178" i="1"/>
  <c r="U248" i="1"/>
  <c r="U203" i="1"/>
  <c r="U177" i="1"/>
  <c r="U176" i="1"/>
  <c r="U191" i="1"/>
  <c r="U192" i="1"/>
  <c r="U279" i="1"/>
  <c r="U168" i="1"/>
  <c r="U162" i="1"/>
  <c r="U163" i="1"/>
  <c r="U158" i="1"/>
  <c r="U155" i="1"/>
  <c r="U144" i="1"/>
  <c r="U242" i="1"/>
  <c r="U122" i="1"/>
  <c r="U271" i="1"/>
  <c r="U121" i="1"/>
  <c r="U243" i="1"/>
  <c r="U223" i="1"/>
  <c r="U119" i="1"/>
  <c r="U115" i="1"/>
  <c r="U110" i="1"/>
  <c r="U124" i="1"/>
  <c r="U252" i="1"/>
  <c r="U142" i="1"/>
  <c r="U221" i="1"/>
  <c r="U220" i="1"/>
  <c r="U214" i="1"/>
  <c r="U284" i="1"/>
  <c r="U9" i="1"/>
  <c r="U114" i="1"/>
  <c r="U94" i="1"/>
  <c r="U92" i="1"/>
  <c r="R289" i="1"/>
  <c r="R277" i="1"/>
  <c r="R275" i="1"/>
  <c r="R265" i="1"/>
  <c r="R251" i="1"/>
  <c r="R239" i="1"/>
  <c r="R215" i="1"/>
  <c r="R216" i="1"/>
  <c r="R213" i="1"/>
  <c r="R201" i="1"/>
  <c r="R198" i="1"/>
  <c r="R161" i="1"/>
  <c r="R141" i="1"/>
  <c r="R281" i="1"/>
  <c r="R261" i="1"/>
  <c r="R245" i="1"/>
  <c r="R180" i="1"/>
  <c r="R172" i="1"/>
  <c r="R129" i="1"/>
  <c r="R123" i="1"/>
  <c r="R209" i="1"/>
  <c r="R116" i="1"/>
  <c r="R124" i="1"/>
  <c r="R102" i="1"/>
  <c r="R291" i="1"/>
  <c r="R80" i="1"/>
  <c r="R81" i="1"/>
  <c r="R75" i="1"/>
  <c r="R76" i="1"/>
  <c r="R70" i="1"/>
  <c r="R71" i="1"/>
  <c r="R63" i="1"/>
  <c r="R64" i="1"/>
  <c r="R58" i="1"/>
  <c r="R59" i="1"/>
  <c r="R60" i="1"/>
  <c r="R61" i="1"/>
  <c r="R62" i="1"/>
  <c r="R284" i="1"/>
  <c r="R9" i="1"/>
  <c r="R65" i="1"/>
  <c r="R66" i="1"/>
  <c r="R67" i="1"/>
  <c r="R87" i="1"/>
  <c r="R85" i="1"/>
  <c r="R68" i="1"/>
  <c r="R69" i="1"/>
  <c r="E34" i="7" l="1"/>
  <c r="G34" i="7"/>
  <c r="I34" i="7"/>
  <c r="K34" i="7"/>
  <c r="M34" i="7"/>
  <c r="O34" i="7"/>
  <c r="Q34" i="7"/>
  <c r="S34" i="7"/>
  <c r="U34" i="7"/>
  <c r="E35" i="7"/>
  <c r="G35" i="7"/>
  <c r="I35" i="7"/>
  <c r="K35" i="7"/>
  <c r="M35" i="7"/>
  <c r="O35" i="7"/>
  <c r="Q35" i="7"/>
  <c r="S35" i="7"/>
  <c r="U35" i="7"/>
  <c r="E36" i="7"/>
  <c r="G36" i="7"/>
  <c r="I36" i="7"/>
  <c r="K36" i="7"/>
  <c r="M36" i="7"/>
  <c r="O36" i="7"/>
  <c r="Q36" i="7"/>
  <c r="S36" i="7"/>
  <c r="U36" i="7"/>
  <c r="E37" i="7"/>
  <c r="G37" i="7"/>
  <c r="I37" i="7"/>
  <c r="K37" i="7"/>
  <c r="M37" i="7"/>
  <c r="O37" i="7"/>
  <c r="Q37" i="7"/>
  <c r="S37" i="7"/>
  <c r="U37" i="7"/>
  <c r="E29" i="7" l="1"/>
  <c r="G29" i="7"/>
  <c r="I29" i="7"/>
  <c r="K29" i="7"/>
  <c r="M29" i="7"/>
  <c r="O29" i="7"/>
  <c r="Q29" i="7"/>
  <c r="S29" i="7"/>
  <c r="U29" i="7"/>
  <c r="E30" i="7"/>
  <c r="G30" i="7"/>
  <c r="I30" i="7"/>
  <c r="K30" i="7"/>
  <c r="M30" i="7"/>
  <c r="O30" i="7"/>
  <c r="Q30" i="7"/>
  <c r="S30" i="7"/>
  <c r="U30" i="7"/>
  <c r="E31" i="7"/>
  <c r="G31" i="7"/>
  <c r="I31" i="7"/>
  <c r="K31" i="7"/>
  <c r="M31" i="7"/>
  <c r="O31" i="7"/>
  <c r="Q31" i="7"/>
  <c r="S31" i="7"/>
  <c r="U31" i="7"/>
  <c r="E32" i="7"/>
  <c r="G32" i="7"/>
  <c r="I32" i="7"/>
  <c r="K32" i="7"/>
  <c r="M32" i="7"/>
  <c r="O32" i="7"/>
  <c r="Q32" i="7"/>
  <c r="S32" i="7"/>
  <c r="U32" i="7"/>
  <c r="E33" i="7"/>
  <c r="G33" i="7"/>
  <c r="I33" i="7"/>
  <c r="K33" i="7"/>
  <c r="M33" i="7"/>
  <c r="O33" i="7"/>
  <c r="Q33" i="7"/>
  <c r="S33" i="7"/>
  <c r="U33" i="7"/>
  <c r="B151" i="7" l="1"/>
  <c r="B150" i="7"/>
  <c r="B153" i="7"/>
  <c r="B152" i="7"/>
  <c r="P50" i="7"/>
  <c r="Q50" i="7" s="1"/>
  <c r="P2" i="7"/>
  <c r="B165" i="7"/>
  <c r="B164" i="7"/>
  <c r="B167" i="7"/>
  <c r="B166" i="7"/>
  <c r="R50" i="7"/>
  <c r="S50" i="7" s="1"/>
  <c r="R2" i="7"/>
  <c r="B137" i="7"/>
  <c r="B136" i="7"/>
  <c r="B139" i="7"/>
  <c r="B138" i="7"/>
  <c r="N50" i="7"/>
  <c r="O50" i="7" s="1"/>
  <c r="N2" i="7"/>
  <c r="B123" i="7"/>
  <c r="B122" i="7"/>
  <c r="B109" i="7"/>
  <c r="B108" i="7"/>
  <c r="B125" i="7"/>
  <c r="B124" i="7"/>
  <c r="L50" i="7"/>
  <c r="M50" i="7" s="1"/>
  <c r="L2" i="7"/>
  <c r="B95" i="7"/>
  <c r="B94" i="7"/>
  <c r="B81" i="7"/>
  <c r="B80" i="7"/>
  <c r="B111" i="7"/>
  <c r="B110" i="7"/>
  <c r="J50" i="7"/>
  <c r="K50" i="7" s="1"/>
  <c r="J2" i="7"/>
  <c r="B97" i="7"/>
  <c r="B96" i="7"/>
  <c r="H50" i="7"/>
  <c r="I50" i="7" s="1"/>
  <c r="H2" i="7"/>
  <c r="B83" i="7"/>
  <c r="B82" i="7"/>
  <c r="F50" i="7"/>
  <c r="G50" i="7" s="1"/>
  <c r="F2" i="7"/>
  <c r="B67" i="7"/>
  <c r="B66" i="7"/>
  <c r="B69" i="7"/>
  <c r="B68" i="7"/>
  <c r="T50"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8" i="7" s="1"/>
  <c r="D50" i="7"/>
  <c r="E50" i="7" s="1"/>
  <c r="D2" i="7"/>
  <c r="U50" i="7"/>
  <c r="P42" i="7" l="1"/>
  <c r="Q41" i="7" s="1"/>
  <c r="Q27" i="7"/>
  <c r="Q3" i="7"/>
  <c r="Q2" i="7"/>
  <c r="R3" i="7"/>
  <c r="R4" i="7" s="1"/>
  <c r="S3" i="7" s="1"/>
  <c r="T3" i="7"/>
  <c r="L3" i="7"/>
  <c r="M2" i="7" s="1"/>
  <c r="N3" i="7"/>
  <c r="H3" i="7"/>
  <c r="J3" i="7"/>
  <c r="D3" i="7"/>
  <c r="D4" i="7" s="1"/>
  <c r="E3" i="7" s="1"/>
  <c r="F3" i="7"/>
  <c r="U2" i="7"/>
  <c r="Q39" i="7" l="1"/>
  <c r="Q40" i="7"/>
  <c r="P43" i="7"/>
  <c r="P44" i="7" s="1"/>
  <c r="P45" i="7" s="1"/>
  <c r="P46" i="7" s="1"/>
  <c r="P47" i="7" s="1"/>
  <c r="P48" i="7" s="1"/>
  <c r="P49" i="7" s="1"/>
  <c r="Q38" i="7"/>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8" i="7" s="1"/>
  <c r="I2" i="7"/>
  <c r="J4" i="7"/>
  <c r="K2" i="7"/>
  <c r="H4" i="7"/>
  <c r="H5" i="7" s="1"/>
  <c r="E2" i="7"/>
  <c r="F4" i="7"/>
  <c r="G2" i="7"/>
  <c r="D5" i="7"/>
  <c r="E4" i="7" s="1"/>
  <c r="U3" i="7"/>
  <c r="L42" i="7" l="1"/>
  <c r="M41" i="7" s="1"/>
  <c r="M27" i="7"/>
  <c r="Q6" i="7"/>
  <c r="T5" i="7"/>
  <c r="M3" i="7"/>
  <c r="R6" i="7"/>
  <c r="S5" i="7" s="1"/>
  <c r="I3" i="7"/>
  <c r="N5" i="7"/>
  <c r="O3" i="7"/>
  <c r="M4" i="7"/>
  <c r="M5" i="7"/>
  <c r="M6" i="7"/>
  <c r="J5" i="7"/>
  <c r="K3" i="7"/>
  <c r="H6" i="7"/>
  <c r="I5" i="7" s="1"/>
  <c r="I4" i="7"/>
  <c r="F5" i="7"/>
  <c r="G3" i="7"/>
  <c r="D6" i="7"/>
  <c r="E5" i="7" s="1"/>
  <c r="U4" i="7"/>
  <c r="M39" i="7" l="1"/>
  <c r="M40" i="7"/>
  <c r="L43" i="7"/>
  <c r="L44" i="7" s="1"/>
  <c r="L45" i="7" s="1"/>
  <c r="L46" i="7" s="1"/>
  <c r="L47" i="7" s="1"/>
  <c r="L48" i="7" s="1"/>
  <c r="L49" i="7" s="1"/>
  <c r="M38" i="7"/>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8" i="7"/>
  <c r="N26" i="7"/>
  <c r="O25" i="7" s="1"/>
  <c r="M28" i="7"/>
  <c r="J26" i="7"/>
  <c r="K25" i="7" s="1"/>
  <c r="H28" i="7"/>
  <c r="F26" i="7"/>
  <c r="G25" i="7" s="1"/>
  <c r="D28" i="7"/>
  <c r="U25" i="7"/>
  <c r="I26" i="7" l="1"/>
  <c r="I27" i="7"/>
  <c r="S26" i="7"/>
  <c r="S27" i="7"/>
  <c r="E26" i="7"/>
  <c r="E27" i="7"/>
  <c r="Q28" i="7"/>
  <c r="T28" i="7"/>
  <c r="U27" i="7" s="1"/>
  <c r="R42" i="7"/>
  <c r="S41" i="7" s="1"/>
  <c r="N28" i="7"/>
  <c r="M42" i="7"/>
  <c r="J28" i="7"/>
  <c r="H42" i="7"/>
  <c r="I41" i="7" s="1"/>
  <c r="F28" i="7"/>
  <c r="D42" i="7"/>
  <c r="E41" i="7" s="1"/>
  <c r="I39" i="7" l="1"/>
  <c r="I40" i="7"/>
  <c r="E39" i="7"/>
  <c r="E40" i="7"/>
  <c r="S39" i="7"/>
  <c r="S40" i="7"/>
  <c r="I28" i="7"/>
  <c r="I38" i="7"/>
  <c r="E28" i="7"/>
  <c r="E38" i="7"/>
  <c r="S28" i="7"/>
  <c r="S38" i="7"/>
  <c r="K26" i="7"/>
  <c r="K27" i="7"/>
  <c r="G26" i="7"/>
  <c r="G27" i="7"/>
  <c r="O26" i="7"/>
  <c r="O27" i="7"/>
  <c r="Q42" i="7"/>
  <c r="T42" i="7"/>
  <c r="R43" i="7"/>
  <c r="S42" i="7" s="1"/>
  <c r="N42" i="7"/>
  <c r="O41" i="7" s="1"/>
  <c r="M43" i="7"/>
  <c r="J42" i="7"/>
  <c r="K41" i="7" s="1"/>
  <c r="H43" i="7"/>
  <c r="I42" i="7" s="1"/>
  <c r="F42" i="7"/>
  <c r="G41" i="7" s="1"/>
  <c r="D43" i="7"/>
  <c r="E42" i="7" s="1"/>
  <c r="U26" i="7"/>
  <c r="U40" i="7" l="1"/>
  <c r="U41" i="7"/>
  <c r="O39" i="7"/>
  <c r="O40" i="7"/>
  <c r="K39" i="7"/>
  <c r="K40" i="7"/>
  <c r="G39" i="7"/>
  <c r="G40" i="7"/>
  <c r="U38" i="7"/>
  <c r="U39" i="7"/>
  <c r="K28" i="7"/>
  <c r="K38" i="7"/>
  <c r="G28" i="7"/>
  <c r="G38" i="7"/>
  <c r="O28" i="7"/>
  <c r="O38" i="7"/>
  <c r="Q43" i="7"/>
  <c r="T43" i="7"/>
  <c r="R44" i="7"/>
  <c r="N43" i="7"/>
  <c r="O42" i="7" s="1"/>
  <c r="M44" i="7"/>
  <c r="J43" i="7"/>
  <c r="K42" i="7" s="1"/>
  <c r="H44" i="7"/>
  <c r="I43" i="7" s="1"/>
  <c r="F43" i="7"/>
  <c r="G42" i="7" s="1"/>
  <c r="D44" i="7"/>
  <c r="E43" i="7" s="1"/>
  <c r="U28" i="7"/>
  <c r="U42" i="7"/>
  <c r="Q44" i="7" l="1"/>
  <c r="T44" i="7"/>
  <c r="R45" i="7"/>
  <c r="S44" i="7" s="1"/>
  <c r="S43" i="7"/>
  <c r="N44" i="7"/>
  <c r="O43" i="7" s="1"/>
  <c r="M45" i="7"/>
  <c r="J44" i="7"/>
  <c r="K43" i="7" s="1"/>
  <c r="H45" i="7"/>
  <c r="I44" i="7" s="1"/>
  <c r="F44" i="7"/>
  <c r="G43" i="7" s="1"/>
  <c r="D45" i="7"/>
  <c r="E44" i="7" s="1"/>
  <c r="U43" i="7"/>
  <c r="Q45" i="7" l="1"/>
  <c r="T45" i="7"/>
  <c r="R46" i="7"/>
  <c r="S45" i="7" s="1"/>
  <c r="N45" i="7"/>
  <c r="O44" i="7" s="1"/>
  <c r="M46" i="7"/>
  <c r="J45" i="7"/>
  <c r="K44" i="7" s="1"/>
  <c r="H46" i="7"/>
  <c r="I45" i="7" s="1"/>
  <c r="F45" i="7"/>
  <c r="G44" i="7" s="1"/>
  <c r="D46" i="7"/>
  <c r="E45" i="7" s="1"/>
  <c r="U44" i="7"/>
  <c r="Q46" i="7" l="1"/>
  <c r="T46" i="7"/>
  <c r="R47" i="7"/>
  <c r="N46" i="7"/>
  <c r="O45" i="7" s="1"/>
  <c r="M47" i="7"/>
  <c r="J46" i="7"/>
  <c r="K45" i="7" s="1"/>
  <c r="H47" i="7"/>
  <c r="I46" i="7" s="1"/>
  <c r="F46" i="7"/>
  <c r="G45" i="7" s="1"/>
  <c r="D47" i="7"/>
  <c r="E46" i="7" s="1"/>
  <c r="U45" i="7"/>
  <c r="Q47" i="7" l="1"/>
  <c r="T47" i="7"/>
  <c r="R48" i="7"/>
  <c r="S47" i="7" s="1"/>
  <c r="S46" i="7"/>
  <c r="N47" i="7"/>
  <c r="O46" i="7" s="1"/>
  <c r="M48" i="7"/>
  <c r="J47" i="7"/>
  <c r="K46" i="7" s="1"/>
  <c r="H48" i="7"/>
  <c r="I47" i="7" s="1"/>
  <c r="F47" i="7"/>
  <c r="G46" i="7" s="1"/>
  <c r="D48" i="7"/>
  <c r="E47" i="7" s="1"/>
  <c r="U46" i="7"/>
  <c r="Q48" i="7" l="1"/>
  <c r="T48" i="7"/>
  <c r="R49" i="7"/>
  <c r="S48" i="7" s="1"/>
  <c r="N48" i="7"/>
  <c r="O47" i="7" s="1"/>
  <c r="M49" i="7"/>
  <c r="J48" i="7"/>
  <c r="K47" i="7" s="1"/>
  <c r="H49" i="7"/>
  <c r="I48" i="7" s="1"/>
  <c r="F48" i="7"/>
  <c r="G47" i="7" s="1"/>
  <c r="D49" i="7"/>
  <c r="E48" i="7" s="1"/>
  <c r="U47" i="7"/>
  <c r="Q49" i="7" l="1"/>
  <c r="T49" i="7"/>
  <c r="S49" i="7"/>
  <c r="N49" i="7"/>
  <c r="O48" i="7" s="1"/>
  <c r="J49" i="7"/>
  <c r="K48" i="7" s="1"/>
  <c r="I49" i="7"/>
  <c r="F49" i="7"/>
  <c r="G48" i="7" s="1"/>
  <c r="E49" i="7"/>
  <c r="U48" i="7"/>
  <c r="O49" i="7" l="1"/>
  <c r="K49" i="7"/>
  <c r="G49" i="7"/>
  <c r="U49"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<sst xmlns="http://schemas.openxmlformats.org/spreadsheetml/2006/main" count="9638" uniqueCount="3094">
  <si>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</si>
  <si>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</si>
  <si>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</si>
  <si>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</si>
  <si>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</si>
  <si>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</si>
  <si>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</si>
  <si>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</si>
  <si>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</si>
  <si>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</si>
  <si>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</si>
  <si>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</si>
  <si>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</si>
  <si>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</si>
  <si>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</si>
  <si>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</si>
  <si>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</si>
  <si>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</si>
  <si>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</si>
  <si>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</si>
  <si>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</si>
  <si>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</si>
  <si>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</si>
  <si>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</si>
  <si>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</si>
  <si>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</si>
  <si>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</si>
  <si>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</si>
  <si>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</si>
  <si>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</si>
  <si>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</si>
  <si>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</si>
  <si>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</si>
  <si>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</si>
  <si>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</si>
  <si>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</si>
  <si>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</si>
  <si>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</si>
  <si>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</si>
  <si>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</si>
  <si>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</si>
  <si>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</si>
  <si>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</si>
  <si>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</si>
  <si>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</si>
  <si>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</si>
  <si>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</si>
  <si>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</si>
  <si>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</si>
  <si>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</si>
  <si>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</si>
  <si>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</si>
  <si>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</si>
  <si>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</si>
  <si>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</si>
  <si>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</si>
  <si>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</si>
  <si>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</si>
  <si>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</si>
  <si>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</si>
  <si>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</si>
  <si>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</si>
  <si>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</si>
  <si>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</si>
  <si>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</si>
  <si>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</si>
  <si>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</si>
  <si>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</si>
  <si>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</si>
  <si>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</si>
  <si>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</si>
  <si>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</si>
  <si>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</si>
  <si>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</si>
  <si>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</si>
  <si>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</si>
  <si>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</si>
  <si>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</si>
  <si>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</si>
  <si>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</si>
  <si>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</si>
  <si>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</si>
  <si>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</si>
  <si>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</si>
  <si>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</si>
  <si>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</si>
  <si>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</si>
  <si>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</si>
  <si>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</si>
  <si>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</si>
  <si>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</si>
  <si>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</si>
  <si>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</si>
  <si>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</si>
  <si>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</si>
  <si>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</si>
  <si>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</si>
  <si>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</si>
  <si>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</si>
  <si>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</si>
  <si>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</si>
  <si>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</si>
  <si>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</si>
  <si>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</si>
  <si>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</si>
  <si>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</si>
  <si>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</si>
  <si>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</si>
  <si>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</si>
  <si>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</si>
  <si>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</si>
  <si>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</si>
  <si>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</si>
  <si>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</si>
  <si>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</si>
  <si>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</si>
  <si>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</si>
  <si>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</si>
  <si>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</si>
  <si>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</si>
  <si>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</si>
  <si>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</si>
  <si>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</si>
  <si>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</si>
  <si>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</si>
  <si>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</si>
  <si>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</si>
  <si>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</si>
  <si>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</si>
  <si>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</si>
  <si>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</si>
  <si>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</si>
  <si>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</si>
  <si>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</si>
  <si>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</si>
  <si>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</si>
  <si>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</si>
  <si>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</si>
  <si>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</si>
  <si>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</si>
  <si>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</si>
  <si>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</si>
  <si>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</si>
  <si>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</si>
  <si>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</si>
  <si>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</si>
  <si>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</si>
  <si>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</si>
  <si>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</si>
  <si>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</si>
  <si>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</si>
  <si>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</si>
  <si>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</si>
  <si>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</si>
  <si>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</si>
  <si>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</si>
  <si>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</si>
  <si>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</si>
  <si>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</si>
  <si>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</si>
  <si>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</si>
  <si>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</si>
  <si>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</si>
  <si>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</si>
  <si>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</si>
  <si>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</si>
  <si>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</si>
  <si>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</si>
  <si>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</si>
  <si>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</si>
  <si>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</si>
  <si>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</si>
  <si>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</si>
  <si>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</si>
  <si>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</si>
  <si>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</si>
  <si>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</si>
  <si>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</si>
  <si>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</si>
  <si>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</si>
  <si>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</si>
  <si>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</si>
  <si>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</si>
  <si>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Media in Tweet</t>
  </si>
  <si>
    <t>Tweet Image File</t>
  </si>
  <si>
    <t>Tweet Date (UTC)</t>
  </si>
  <si>
    <t>Date</t>
  </si>
  <si>
    <t>Time</t>
  </si>
  <si>
    <t>Twitter Page for Tweet</t>
  </si>
  <si>
    <t>Latitude</t>
  </si>
  <si>
    <t>Longitude</t>
  </si>
  <si>
    <t>Imported ID</t>
  </si>
  <si>
    <t>In-Reply-To Tweet ID</t>
  </si>
  <si>
    <t>Favorited</t>
  </si>
  <si>
    <t>Favorite Count</t>
  </si>
  <si>
    <t>In-Reply-To User ID</t>
  </si>
  <si>
    <t>Is Quote Status</t>
  </si>
  <si>
    <t>Language</t>
  </si>
  <si>
    <t>Possibly Sensitive</t>
  </si>
  <si>
    <t>Quoted Status ID</t>
  </si>
  <si>
    <t>Retweeted</t>
  </si>
  <si>
    <t>Retweet Count</t>
  </si>
  <si>
    <t>Retweet ID</t>
  </si>
  <si>
    <t>Source</t>
  </si>
  <si>
    <t>Truncated</t>
  </si>
  <si>
    <t>Unified Twitter ID</t>
  </si>
  <si>
    <t>Imported Tweet Type</t>
  </si>
  <si>
    <t>Added By Extended Analysis</t>
  </si>
  <si>
    <t>Corrected By Extended Analysis</t>
  </si>
  <si>
    <t>Place Bounding Box</t>
  </si>
  <si>
    <t>Place Country</t>
  </si>
  <si>
    <t>Place Country Code</t>
  </si>
  <si>
    <t>Place Full Name</t>
  </si>
  <si>
    <t>Place ID</t>
  </si>
  <si>
    <t>Place Name</t>
  </si>
  <si>
    <t>Place Type</t>
  </si>
  <si>
    <t>Place URL</t>
  </si>
  <si>
    <t>wayfarerperolas</t>
  </si>
  <si>
    <t>melanchoric4149</t>
  </si>
  <si>
    <t>nyaoooosan</t>
  </si>
  <si>
    <t>pik3po</t>
  </si>
  <si>
    <t>kagura2718</t>
  </si>
  <si>
    <t>0218_blue_sky</t>
  </si>
  <si>
    <t>har067014</t>
  </si>
  <si>
    <t>capttere</t>
  </si>
  <si>
    <t>pimp_shredder</t>
  </si>
  <si>
    <t>mimipokemon1</t>
  </si>
  <si>
    <t>harrytr02640104</t>
  </si>
  <si>
    <t>barnfinds</t>
  </si>
  <si>
    <t>bdcc340sb</t>
  </si>
  <si>
    <t>borisgonschorek</t>
  </si>
  <si>
    <t>gurumwu</t>
  </si>
  <si>
    <t>hams1156</t>
  </si>
  <si>
    <t>nebapuri</t>
  </si>
  <si>
    <t>gusra69</t>
  </si>
  <si>
    <t>funkrollin_enl</t>
  </si>
  <si>
    <t>polecatgo</t>
  </si>
  <si>
    <t>yossie0007</t>
  </si>
  <si>
    <t>kestrelman0122</t>
  </si>
  <si>
    <t>leon30006310</t>
  </si>
  <si>
    <t>carolsierra12</t>
  </si>
  <si>
    <t>_lipematheus</t>
  </si>
  <si>
    <t>xrazorx2</t>
  </si>
  <si>
    <t>smallstreamersr</t>
  </si>
  <si>
    <t>houseoflunettes</t>
  </si>
  <si>
    <t>anuoluw5</t>
  </si>
  <si>
    <t>kokyona</t>
  </si>
  <si>
    <t>jc_salazar</t>
  </si>
  <si>
    <t>brandulinks</t>
  </si>
  <si>
    <t>yooousango</t>
  </si>
  <si>
    <t>britnoo</t>
  </si>
  <si>
    <t>watchezmenz</t>
  </si>
  <si>
    <t>railway_fox</t>
  </si>
  <si>
    <t>magi_touhou298</t>
  </si>
  <si>
    <t>twitrpartner</t>
  </si>
  <si>
    <t>lyndilane</t>
  </si>
  <si>
    <t>marilou858</t>
  </si>
  <si>
    <t>suzu373737</t>
  </si>
  <si>
    <t>raymarines</t>
  </si>
  <si>
    <t>elgranuja84</t>
  </si>
  <si>
    <t>o0e_k0o</t>
  </si>
  <si>
    <t>katopsingress</t>
  </si>
  <si>
    <t>pollinisation</t>
  </si>
  <si>
    <t>northroadcycles</t>
  </si>
  <si>
    <t>peteswiftysan</t>
  </si>
  <si>
    <t>tucentrooptico</t>
  </si>
  <si>
    <t>tot0mad</t>
  </si>
  <si>
    <t>to1027me</t>
  </si>
  <si>
    <t>fightwood1</t>
  </si>
  <si>
    <t>mothatude</t>
  </si>
  <si>
    <t>pogo_pac</t>
  </si>
  <si>
    <t>legendslima</t>
  </si>
  <si>
    <t>gobarreras</t>
  </si>
  <si>
    <t>arhyxz</t>
  </si>
  <si>
    <t>jeffreyb777</t>
  </si>
  <si>
    <t>tokiwailm</t>
  </si>
  <si>
    <t>robygates95</t>
  </si>
  <si>
    <t>metalitalia</t>
  </si>
  <si>
    <t>riccardoventi10</t>
  </si>
  <si>
    <t>snow_daifukuya</t>
  </si>
  <si>
    <t>g2g_med1a</t>
  </si>
  <si>
    <t>pelopogo</t>
  </si>
  <si>
    <t>kameron_136</t>
  </si>
  <si>
    <t>puchiyawa</t>
  </si>
  <si>
    <t>akiyoshi_kamide</t>
  </si>
  <si>
    <t>maybeflush</t>
  </si>
  <si>
    <t>asner_enl</t>
  </si>
  <si>
    <t>yasubox</t>
  </si>
  <si>
    <t>hackyugioh</t>
  </si>
  <si>
    <t>rikumaru_suisan</t>
  </si>
  <si>
    <t>gnk_poke5</t>
  </si>
  <si>
    <t>transwestttrv</t>
  </si>
  <si>
    <t>bchrisspinks</t>
  </si>
  <si>
    <t>ddsk_ckrn</t>
  </si>
  <si>
    <t>nharl_the_mage</t>
  </si>
  <si>
    <t>tajurina</t>
  </si>
  <si>
    <t>lssenterprise</t>
  </si>
  <si>
    <t>menbei_oishii</t>
  </si>
  <si>
    <t>enltodayjapan</t>
  </si>
  <si>
    <t>ruindig</t>
  </si>
  <si>
    <t>navalin1</t>
  </si>
  <si>
    <t>rrby837</t>
  </si>
  <si>
    <t>bloceyewear</t>
  </si>
  <si>
    <t>shoupokeaka</t>
  </si>
  <si>
    <t>reartistron</t>
  </si>
  <si>
    <t>otamaimai</t>
  </si>
  <si>
    <t>tunopokekru</t>
  </si>
  <si>
    <t>keys_tad</t>
  </si>
  <si>
    <t>pipoca_nr</t>
  </si>
  <si>
    <t>lobeznox5</t>
  </si>
  <si>
    <t>almondx43</t>
  </si>
  <si>
    <t>beekeepershour</t>
  </si>
  <si>
    <t>beesstandon</t>
  </si>
  <si>
    <t>flourishbees</t>
  </si>
  <si>
    <t>coolportraitgil</t>
  </si>
  <si>
    <t>hot__mikan</t>
  </si>
  <si>
    <t>esquireattire</t>
  </si>
  <si>
    <t>bo_ku_chan_</t>
  </si>
  <si>
    <t>osumashipokemon</t>
  </si>
  <si>
    <t>jte3j</t>
  </si>
  <si>
    <t>stonedzine</t>
  </si>
  <si>
    <t>matthewus13</t>
  </si>
  <si>
    <t>m_liverbird1892</t>
  </si>
  <si>
    <t>whitecrow331</t>
  </si>
  <si>
    <t>godnusa</t>
  </si>
  <si>
    <t>yuckf0u</t>
  </si>
  <si>
    <t>posi4hope</t>
  </si>
  <si>
    <t>mmthornberg</t>
  </si>
  <si>
    <t>halhubener</t>
  </si>
  <si>
    <t>jeanluc_picachu</t>
  </si>
  <si>
    <t>diazed6</t>
  </si>
  <si>
    <t>artxfm</t>
  </si>
  <si>
    <t>dj_hunchback_</t>
  </si>
  <si>
    <t>solarflightowl</t>
  </si>
  <si>
    <t>sandrucci54</t>
  </si>
  <si>
    <t>haruhibipapa241</t>
  </si>
  <si>
    <t>horseshort</t>
  </si>
  <si>
    <t>cecki</t>
  </si>
  <si>
    <t>veraangie11</t>
  </si>
  <si>
    <t>cyrusreportgma1</t>
  </si>
  <si>
    <t>ko92792</t>
  </si>
  <si>
    <t>kinect023</t>
  </si>
  <si>
    <t>mameojaru</t>
  </si>
  <si>
    <t>psoiko2</t>
  </si>
  <si>
    <t>radiusbit</t>
  </si>
  <si>
    <t>gorotsukineko</t>
  </si>
  <si>
    <t>10r_p</t>
  </si>
  <si>
    <t>enlhyperi</t>
  </si>
  <si>
    <t>ultimasnorlax</t>
  </si>
  <si>
    <t>kraschelinus</t>
  </si>
  <si>
    <t>laki_global</t>
  </si>
  <si>
    <t>yo828_</t>
  </si>
  <si>
    <t>renesaenz17</t>
  </si>
  <si>
    <t>hugh_nonymous</t>
  </si>
  <si>
    <t>armendqaushi</t>
  </si>
  <si>
    <t>bim_star</t>
  </si>
  <si>
    <t>anthonyspradl12</t>
  </si>
  <si>
    <t>magicalthorn</t>
  </si>
  <si>
    <t>bluelightgoo</t>
  </si>
  <si>
    <t>hiho_3tafe</t>
  </si>
  <si>
    <t>sinestzet</t>
  </si>
  <si>
    <t>ishigo18</t>
  </si>
  <si>
    <t>twoasiyesquire</t>
  </si>
  <si>
    <t>mino_0916</t>
  </si>
  <si>
    <t>ddd66477118</t>
  </si>
  <si>
    <t>tera7998</t>
  </si>
  <si>
    <t>elv1sfan</t>
  </si>
  <si>
    <t>starseedof</t>
  </si>
  <si>
    <t>leah27christine</t>
  </si>
  <si>
    <t>damujen</t>
  </si>
  <si>
    <t>ted_pops</t>
  </si>
  <si>
    <t>chuckfinley305</t>
  </si>
  <si>
    <t>pokemon_1234567</t>
  </si>
  <si>
    <t>frankhoncho</t>
  </si>
  <si>
    <t>tsukinapo_puyo</t>
  </si>
  <si>
    <t>mimoza_moza2</t>
  </si>
  <si>
    <t>misrenee7783</t>
  </si>
  <si>
    <t>alisondcarr</t>
  </si>
  <si>
    <t>lisa_cable</t>
  </si>
  <si>
    <t>aryservant</t>
  </si>
  <si>
    <t>thedesigner_17</t>
  </si>
  <si>
    <t>humbert42454958</t>
  </si>
  <si>
    <t>ianbursillphoto</t>
  </si>
  <si>
    <t>mihoppy_pokego</t>
  </si>
  <si>
    <t>connor_mosher</t>
  </si>
  <si>
    <t>scoopalou</t>
  </si>
  <si>
    <t>dissidentpr1</t>
  </si>
  <si>
    <t>kguegallagher</t>
  </si>
  <si>
    <t>mikeytvjonez</t>
  </si>
  <si>
    <t>peachpriestess</t>
  </si>
  <si>
    <t>asperminette</t>
  </si>
  <si>
    <t>ninjaawaffles</t>
  </si>
  <si>
    <t>paulthemartian</t>
  </si>
  <si>
    <t>stannorred</t>
  </si>
  <si>
    <t>ghengiskhan88</t>
  </si>
  <si>
    <t>libertyjusticeb</t>
  </si>
  <si>
    <t>nathankg</t>
  </si>
  <si>
    <t>lillmcgil</t>
  </si>
  <si>
    <t>anti_ball</t>
  </si>
  <si>
    <t>theadoredeplore</t>
  </si>
  <si>
    <t>hc_mmoor1868</t>
  </si>
  <si>
    <t>warteambravo</t>
  </si>
  <si>
    <t>hurrywakeupnow</t>
  </si>
  <si>
    <t>candyace</t>
  </si>
  <si>
    <t>revelationskool</t>
  </si>
  <si>
    <t>sire_salehan</t>
  </si>
  <si>
    <t>thekaratekid83</t>
  </si>
  <si>
    <t>55yankeee</t>
  </si>
  <si>
    <t>hirocos2</t>
  </si>
  <si>
    <t>sinxsan</t>
  </si>
  <si>
    <t>momo99momo1</t>
  </si>
  <si>
    <t>mikemur69208563</t>
  </si>
  <si>
    <t>shinebr10868153</t>
  </si>
  <si>
    <t>trudyelliot</t>
  </si>
  <si>
    <t>jefferystraker</t>
  </si>
  <si>
    <t>hildahealing</t>
  </si>
  <si>
    <t>vivienmaron</t>
  </si>
  <si>
    <t>kaniwo</t>
  </si>
  <si>
    <t>pineal_963</t>
  </si>
  <si>
    <t>garriottmatty</t>
  </si>
  <si>
    <t>representltd</t>
  </si>
  <si>
    <t>bigru510</t>
  </si>
  <si>
    <t>patsywilliams1</t>
  </si>
  <si>
    <t>genhydra</t>
  </si>
  <si>
    <t>joyfulhandsther</t>
  </si>
  <si>
    <t>geevalarie</t>
  </si>
  <si>
    <t>marianacoldwell</t>
  </si>
  <si>
    <t>brettcoldwell</t>
  </si>
  <si>
    <t>kwokkwun1</t>
  </si>
  <si>
    <t>kidwithoneshoe</t>
  </si>
  <si>
    <t>jadedl</t>
  </si>
  <si>
    <t>theworldwillkn1</t>
  </si>
  <si>
    <t>priceys</t>
  </si>
  <si>
    <t>ghettolion17</t>
  </si>
  <si>
    <t>milob122</t>
  </si>
  <si>
    <t>ucmkpni</t>
  </si>
  <si>
    <t>waiwai5321</t>
  </si>
  <si>
    <t>roassotakasan</t>
  </si>
  <si>
    <t>ueji24</t>
  </si>
  <si>
    <t>pokemon_fumi</t>
  </si>
  <si>
    <t>enl_tp235</t>
  </si>
  <si>
    <t>roxyspencer11</t>
  </si>
  <si>
    <t>amotherinusa</t>
  </si>
  <si>
    <t>timetowakeupsw1</t>
  </si>
  <si>
    <t>fedagentmark</t>
  </si>
  <si>
    <t>diaper_dan</t>
  </si>
  <si>
    <t>davhalter</t>
  </si>
  <si>
    <t>conchbar17</t>
  </si>
  <si>
    <t>davidfit</t>
  </si>
  <si>
    <t>littlemissmeta</t>
  </si>
  <si>
    <t>biracialconser1</t>
  </si>
  <si>
    <t>itgoesanonanon</t>
  </si>
  <si>
    <t>knoxyy99</t>
  </si>
  <si>
    <t>mikespec11</t>
  </si>
  <si>
    <t>lovelightangel2</t>
  </si>
  <si>
    <t>_omizo_</t>
  </si>
  <si>
    <t>freesuperhero1</t>
  </si>
  <si>
    <t>bookworm543211</t>
  </si>
  <si>
    <t>honor2020</t>
  </si>
  <si>
    <t>lookstorei</t>
  </si>
  <si>
    <t>joanofarc62</t>
  </si>
  <si>
    <t>deplorqult45</t>
  </si>
  <si>
    <t>marymauldin</t>
  </si>
  <si>
    <t>makoto_8810</t>
  </si>
  <si>
    <t>nianticlabs</t>
  </si>
  <si>
    <t>niantichelp</t>
  </si>
  <si>
    <t>smallstreamersc</t>
  </si>
  <si>
    <t>squadhelp</t>
  </si>
  <si>
    <t>chatwinsbakery</t>
  </si>
  <si>
    <t>llangollentic</t>
  </si>
  <si>
    <t>pokeprofnet</t>
  </si>
  <si>
    <t>nikudaisuki7</t>
  </si>
  <si>
    <t>atlasbrewing</t>
  </si>
  <si>
    <t>flavourly</t>
  </si>
  <si>
    <t>wayfair</t>
  </si>
  <si>
    <t>vabvox</t>
  </si>
  <si>
    <t>oldkingcole17</t>
  </si>
  <si>
    <t>amberwb</t>
  </si>
  <si>
    <t>nianticjp</t>
  </si>
  <si>
    <t>niantichelpjp</t>
  </si>
  <si>
    <t>ray_ban</t>
  </si>
  <si>
    <t>sunglasshutsa</t>
  </si>
  <si>
    <t>maristlizard</t>
  </si>
  <si>
    <t>terese_little</t>
  </si>
  <si>
    <t>lisamariechoko4</t>
  </si>
  <si>
    <t>bman304</t>
  </si>
  <si>
    <t>maga2arights</t>
  </si>
  <si>
    <t>thomas1774paine</t>
  </si>
  <si>
    <t>s00nergirl</t>
  </si>
  <si>
    <t>reaidonaltrump_</t>
  </si>
  <si>
    <t>phoenxrisng1776</t>
  </si>
  <si>
    <t>yc727usa</t>
  </si>
  <si>
    <t>rubble30</t>
  </si>
  <si>
    <t>totemranch613</t>
  </si>
  <si>
    <t>fbi</t>
  </si>
  <si>
    <t>emfvet78</t>
  </si>
  <si>
    <t>johnpecco1</t>
  </si>
  <si>
    <t>mittromney</t>
  </si>
  <si>
    <t>karluskap</t>
  </si>
  <si>
    <t>abrahamwooster</t>
  </si>
  <si>
    <t>Retweet</t>
  </si>
  <si>
    <t>Mentions</t>
  </si>
  <si>
    <t>MentionsInRetweet</t>
  </si>
  <si>
    <t>Replies to</t>
  </si>
  <si>
    <t>Placa de carro, telefone do estabelecimento, marca d água com nome do jogador, emojis e nome do jogador em título da solicitação é tudo proibido, neguem tudo isso aí. Objetos móveis e sazonais também não pode. #PokemonGO #Wayfarer #niantic https://t.co/JSn7tUzI9t</t>
  </si>
  <si>
    <t>残念賞
なんで確認してから申請しないかなー
#wayfarer
#ポケストップ　#審査 https://t.co/1JtAsQTgFu</t>
  </si>
  <si>
    <t>世界崩壊してから、地元のポケストップが2つの大きなセルでそれぞれ15個づつになりました。
が、ここから先がしんどいですね。20個でジム2つ目はさすがにきつい、緩和希望。。。
#ポケモンGO
#Wayfarer</t>
  </si>
  <si>
    <t>う〜〜〜〜〜ん、too close！！！
申請時生えてなかった奴と近すぎたみたい
#Wayfarer https://t.co/PjDcYUQ9x2</t>
  </si>
  <si>
    <t>一応タグつけとこう #wayfarer</t>
  </si>
  <si>
    <t>ど地元のお寺承認〜(*ﾟ▽ﾟ)ﾉ
月曜日あたり生えるかな〜？
#Wayfarer https://t.co/0Yh1CLoOIO https://t.co/x2tjIDOqHd</t>
  </si>
  <si>
    <t>This incredible 1952 Dodge Wayfarer has just over 4,000 miles on it and was purchased by Tom Barrett of Barrett-Jackson in 1976 with just 3 miles on it. The seller is asking $18,500 for this time capsule. Thoughts?  -&amp;gt; https://t.co/XfRvmtcncV #Dodge #Wayfarer https://t.co/1Y5pHrSSWu</t>
  </si>
  <si>
    <t>自分で作ったポケストップようやく回せた！
#wayfarer https://t.co/LCyHzw0GAe</t>
  </si>
  <si>
    <t>Bewertungen auf #Wayfarer ...
https://t.co/DIEIaiN4al</t>
  </si>
  <si>
    <t>#Wayfarer #Pogo #Ingress
https://t.co/iAKTpmIYXX</t>
  </si>
  <si>
    <t>久々にポケスト申請した。
クパンの自分ち周辺ばかり申請してたけど、居ることが多い仕事場周りも充実させようと、まずは鉄板の宗教施設と村の教会に、その前のサッカー場申請してみた。
#Wayfarer https://t.co/PwZ3JpmADM</t>
  </si>
  <si>
    <t>・「刈り込みが動物の形のアート」という垣根
・日本にも海外にもあるチェーンレストランのマークの一部
これらがポケストになっていて自分の審査基準がぐらぐらよ。初めてのおでかけ先は悩ましいの。
#Wayfarer
#ポケストップ申請</t>
  </si>
  <si>
    <t>Wayfarerメダルが金に🏅
ちょこちょこと審査を頑張りました✨
申請は承認いただけたのが7つ。
6つはポケストップが立ち、1つは隣と20m以内だったようでIngressのポータルにもならず💦
審査も申請も悩みながらですが楽しくやってます😊
#ポケモンGO
#pokemonGO
#Wayfarer
#おうちでポケモンGO https://t.co/vdbFfyTkKb</t>
  </si>
  <si>
    <t>#Wayfarer
Cuando aparecerán estas 3 pokestop aprobadas, tienen varios meses de aprobación y aun nada
@NianticLabs
@NianticHelp https://t.co/9F4rNWaK8z</t>
  </si>
  <si>
    <t>私が生やしたポータルが800に達したので御報告いたします。
引き続き精進してまいります。
#ポータル申請
#Wayfarer https://t.co/TD69aO28Df</t>
  </si>
  <si>
    <t>6/1に申請したやつが未だに待機中なのに、6/22に申請したやつが承認された…
過疎地のほうが早いのは本当なんだなぁ… #Wayfarer</t>
  </si>
  <si>
    <t>せめてingress からでもポケモン勢の申請者わかるようになればなぁ😞
 #Wayfarer https://t.co/rDWCN1X4dT</t>
  </si>
  <si>
    <t>懲役プール！？
#Wayfarer https://t.co/YdaorBmreL</t>
  </si>
  <si>
    <t>◆張り紙で名称が書かれた集会所について
申請画像で扉に「〇〇集会所」とマジックで書かれたＡ４大の紙が貼られる集会所が申請されました。ストビューに張り紙はなく、よくある地名のせいか検索でもヒットしません。張り紙以外に集会所を示すものが他にない場合、どう評価しますか？
 #Wayfarer</t>
  </si>
  <si>
    <t>So i surprised my love with a pair of #Rayban #Wayfarer shades and he loved it ❤️🥰 #classicLook 😎</t>
  </si>
  <si>
    <t>5x a medalha de ouro do wayfarer. #pokemonGo #wayfarer https://t.co/5zijNtrMFL</t>
  </si>
  <si>
    <t>q? 😂😂😂 #wayfarer #nianticwayfarer https://t.co/QInuDaPY1j</t>
  </si>
  <si>
    <t>Just hit #Wayfarer! We out here Gaming!
Destiny 2
https://t.co/UXBypXcgpZ
#streamers
#SmallStreamersConnect
#twitch
#twitchstreamer
#supstreamer
#smallstreamers
#twitchaffiliate
#gfuel
#teamgamma
#Retweet_Twitch
#SmallStreamerCommunity
#RSG_Retweets
@SmallStreamersC</t>
  </si>
  <si>
    <t>Don't tell me NOTHING! Authentic Ray-Ban Sunnies can never be replaced with Fakes.
Shop the Authentic Ray-Ban 2140 Wayfarer starting at N105,500
#houseoflunettes #rayban #wayfarer #sunglasses #authentic #mensfashion… https://t.co/Tt35PBbuMP</t>
  </si>
  <si>
    <t>チェーン店だぞ何故通ってる
おまけにこの広さをどうしろって言うんだ
#Wayfarer https://t.co/aMk0LnlG6z</t>
  </si>
  <si>
    <t>オブジェ？
何の特徴も歴史も無い現在地の名前だけの標識はそもそも相応しくないと思うな
#Wayfarer
2020/04:03 04:49
要約
市町村などの標識は歴史的または文化的に重要な意味がある場合に限り相応しい
https://t.co/mr5oWlj2qA https://t.co/Kfr4xmNMDx</t>
  </si>
  <si>
    <t>行政機関の適格性
大半の政府施設は不適格
市庁舎や裁判所、図書館といった施設とは異なり、行政機関の施設そのもので質の高いウェイスポットとなることはありません。
#Wayfarer 
https://t.co/AC5JbigdgH</t>
  </si>
  <si>
    <t>公園入口の適格性
同じパーク内にある複数の入口が個別に承認され得るには、互いにはっきりと区別できる独自性があるとともに互いに充分に離れ完全に独立していなければなりません
#Wayfarer
https://t.co/a7lRZTXz5z
独創的どころか看板事態無いから論外の申請 https://t.co/vhCjkffVcv</t>
  </si>
  <si>
    <t>風光明媚なベンチ
誰かを記念したベンチであるといった注目すべきあるいは重要性ある事柄がない限りは資格がない。
公園のベンチやピクニックテーブル、その他の一般的な機能では、重要性がなければ基準を満たさない
#Wayfarer
https://t.co/haq7nTkeNP https://t.co/dMipxbA0Ir</t>
  </si>
  <si>
    <t>否認・ベンチと双眼鏡スタンドの設置された海岸線
否認・木陰にある公園内のピクニックテーブル
否認・ベンチの備え付けられたファイアピット
否認・広大な公園内の固定グリル付ピクニックテーブル
#Wayfarer</t>
  </si>
  <si>
    <t>ベンチでは無く注目に値する集会所へ適用性において
審査・ピクニックテーブルの設置された釣り場のある海岸線
#Wayfarer</t>
  </si>
  <si>
    <t>御酒所じゃ価値が無いじゃん
なぜ酒蔵の名前で申請しないんだ？
同じ看板に昔の名前が、横には現在名の看板が立ってるのに
位置ずらしもしてるし何だかなー
#Wayfarer https://t.co/6E5oWKrVXI</t>
  </si>
  <si>
    <t>ストビューに映ってない
このサイズでライトアップ
ロウソクが綺麗なのに不自然に並んだゴミだらけ
不自然なヘビで隠した台座が工事用基礎ブロック
背面がコンパネ
そもそも縁石のカーブが違う
ここまでやっておいて偽シロデスナと偽ペルシアンと偽名探偵ピカチュウ
#Wayfarer https://t.co/eGXmT6hoTj</t>
  </si>
  <si>
    <t>Cómo van entrenadores nivel 38, 39 y 40 con sus valoraciones, ya casi terminamos de poblar, con pokestop, nuestras localidades? #PokemonGO #Wayfarer https://t.co/Fde3DI8jaB</t>
  </si>
  <si>
    <t>Wayfarious .com is a fun, adventurous name based on #wayfarer for a lively #travel related business or #app - 
#Tourism #TravelTips #Destinations #JeepTours #Cruise
Get it now @Squadhelp #BrandingTips #Wayfarious 
https://t.co/MLcltH8Aw2</t>
  </si>
  <si>
    <t>#Wayfarer
今治にもこんなアウトの投稿する人るのかー！ https://t.co/fCK6hLjrdZ</t>
  </si>
  <si>
    <t>...E cada um tem o meu lado que merece! 🦀💋💜
.
.
.
#ootd #fashion #tshirt
#purple #jeans #blue
#allstar #shoes #converse
#red #blonde #wayfarer 
#sunglasses #urban #style em Niterói, Rio de Janeiro, Brazil https://t.co/i0RsDoIbNI</t>
  </si>
  <si>
    <t>◆消火栓の真横にある祠について
旧街道沿いに置かれる祠が申請されました。申請画像には真横に「消火栓」という赤い看板と、消火栓が見えました。祠そのものは年代が感じられるものの手入れはされているようで、地域の人に大事にされているようです。どう評価しますか？
 #Wayfarer</t>
  </si>
  <si>
    <t>Wayfarer有識者に聞きたいんですけど申請して承認されたスポットが距離の関係でイングレスのポータルにすらならなかった時ってウェイスポットとしての記録すら残らないんですか？　 #Wayfarer  #Wayspot</t>
  </si>
  <si>
    <t>#etsyshop #Bolle #Sunglasses #Retro #Vintage #Snowboard #Ski #Skiing #Wayfarer #90s #BolleIrex #Designer #red https://t.co/zkg1FWKl8D https://t.co/5FICJK3UrX</t>
  </si>
  <si>
    <t>#wayfarer
#ingress
#ポケモンgo
#魔法同盟
Wayfarerはないのかい‼️ https://t.co/RfgNGjdRbM</t>
  </si>
  <si>
    <t>@tos s2セルレベル17内でジム4つ目が出来る条件がわからない
みんぽけだと?になっててわからないです
4つ目作った経験のある方、教えてください🙇‍♂️ #wayfarer</t>
  </si>
  <si>
    <t>@tos これで限界地域とか舐めてんのか
しかも重複だし #wayfarer https://t.co/hc73G5jLZU</t>
  </si>
  <si>
    <t>#Wayfarer es una puta mierda, nos dejan votar paradas en #pokemonGo y podemos votar lo que nosotros (nuestra opinión) para que pueda salir en  el juego o en ingress, pero si no votas lo que Niantic quiere te bloquean 24h sin poder votar, pues mira para eso votar vosotros y listo</t>
  </si>
  <si>
    <t>地域の地図否認された～
隣の区は団地の案内図がスポットになったり団地に四方囲まれた公園がジムになってたりするのに🤷🏼‍♀
地域の団結力に脱帽😛
特に報酬があるわけではないし
もう申請も審査もやめよう💭
#Wayfarer #NianticWayfarer</t>
  </si>
  <si>
    <t>ラブホ入り口のライオンがスポットになってた🤣
天王寺のこちらといい、、ギフト送るのも気が引ける🥴確か枚方にもあったけな、ジムが🏩
#ポケモンGO
#Wayfarer #NianticWayfarer https://t.co/nFuoSps98D</t>
  </si>
  <si>
    <t>これは一等水準点ですね。説明用の看板が隣に立ってるはずですが…　 #Wayfarer https://t.co/Kfa2k6vO7x</t>
  </si>
  <si>
    <t>https://t.co/2HAnEJR0eR
児童養護施設はK-12に含まれますので承認できませんし、施設用地の塀や壁、生垣などに接している物体も同様に承認してはいけないことになってます。 #Wayfarer</t>
  </si>
  <si>
    <t>Swarm at the pub, #Wayfarer They were very obedient and went straight in.  Apparently they had been hanging under the railing to the decking since Friday. Foragers were returning dusted with Himalayan balsam. They have a nice new home now. #beekeepershour https://t.co/E3TO7SwE8a</t>
  </si>
  <si>
    <t>@NorthRoadCycles @LlangollenTIC @ChatwinsBakery You have to ride the #Wayfarer .... Walter MacGregor Robinson - the pioneer of ‘Rough Stuff Cycling’ https://t.co/ytJM6OPMcz</t>
  </si>
  <si>
    <t>Made it over the #Wayfarer by nightfall - the most difficult most challenging pass I’ve ever ridden but the @NorthRoadCycles #Explorer and it’s ‘mag’ wheels nailed it. Incredible views in every direction #BirthdayBikepacking https://t.co/4CzVcaQVEp https://t.co/zkYH3naYFD</t>
  </si>
  <si>
    <t>#BirthdayBikepacking #Wayfarer Day 2.... ready to roll!! @NorthRoadCycles #Explorer https://t.co/YPcwVNFg3z</t>
  </si>
  <si>
    <t>The #routemaster #BirthdayBikepacking #Wayfarer https://t.co/GPIXcuQAUk</t>
  </si>
  <si>
    <t>#rayban #wayfarer #optica #majadahonda #tucentrooptico #venyveras #gafas #gafasdesol #gafasdemarca en Tucentrooptico https://t.co/OuRwEcvAYS</t>
  </si>
  <si>
    <t>#wayfarer AMA！
https://t.co/2ccAANr9zf</t>
  </si>
  <si>
    <t>We had so much fun during our first Twitch Wayfarer Reviewing Party we are gonna do it again. The date is July 15th! Help us pick the time! You never know, maybe @PeloPoGO and @PokeProfNet will show up again. #pokemongo #g2g #wayfarer #twitch</t>
  </si>
  <si>
    <t>Chesapeake Bay #Virginia #sunset I am so lucky to be able to do #photography all over the #world #photoshop #写真 #写真で伝えたい私の世界 #旅行 #アメリカ #放浪癖 #日没 #写真撮影 #世界 #wanderlust #wayfarer https://t.co/7IsKosy9tW</t>
  </si>
  <si>
    <t>「マムシに注意！」の看板。
安全なアクセスって、安全じゃないよな？？
★☆☆☆☆じゃないのか…？
#wayfarer</t>
  </si>
  <si>
    <t>WAYFARER: in studio per il nuovo album #WAYFARER - https://t.co/XMOoQTSyin https://t.co/OA8dib6Q6s</t>
  </si>
  <si>
    <t>ポケスト承認されたので確認しに来たらジムできてた‼️
なぜジム❓
#ポケモンGO
#Wayfarer https://t.co/0JUA28h2ty</t>
  </si>
  <si>
    <t>新興宗教の施設はヘルプの｢公共に開放されている宗教施設｣の"公共"に該当するかが争点だと思うの。その教徒でない一般人も入れるところが多いのだろうけど、入るのはかなりためらわれるし、そうなると公共ではないと判断する審査員が多いのかもね。あと、本当に入れないところもあるはず。#wayfarer</t>
  </si>
  <si>
    <t>(日によって違うのだろうけど、いつも門が閉まっているなら、公共に開放されているとは言えないと思うの。)
これらの施設を推奨するなら、｢いつでも(日中なら？)誰でも入れます｣の補足文があると承認確率がかなり上がると思う。もちろん、ちゃんと確認してだけど。#wayfarer</t>
  </si>
  <si>
    <t>#Wayfarer 審査を最近サボっていて、アプグレも得られていなかったので、久しぶりのWayspot承認です。品川区｢五反田南公園｣、ありがとうございます"(ﾉ*&amp;gt;∀&amp;lt;)ﾉ
多分、山手線の車内からレンジインすると思うし、山手線の速さならデプロイハックできるんじゃないかな。
https://t.co/Zbm4gzTj9p https://t.co/xcwZxg2gBH</t>
  </si>
  <si>
    <t>@nikudaisuki7 さすありですー♪
初めてストビューアプリ360°写真に挑戦してみました！
無事に水準点2つとも生えて良かったです。
タイルは残念でした、私も千頭橋と山崎橋で落とされたことがあります。
市の花さつき(アザレア)と市の木かえで(メイプル)は鮎に比べて審査員の人に人気が無いのかもですね😞 #Wayfarer https://t.co/ZHh7EGJc6T</t>
  </si>
  <si>
    <t>あああああっ！
これ、こないだ #Wayfarer の審査に出てきたことある！！位置が微妙だったので調整した記憶も…
誰かが申請してパスしたようだ！
審査画面に出てきた初の港南台のWayspotでした！！ https://t.co/U2kISa1Xno</t>
  </si>
  <si>
    <t>Tellement mal aux yeux que je code avec mes #wayfarer sur le nez. https://t.co/umdiDZ2ZF7</t>
  </si>
  <si>
    <t>WayfarerについてのAMAを開催  #AMA #Wayfarer #ingress https://t.co/D7JlTUNzzF</t>
  </si>
  <si>
    <t>十四個目のポケストップができました！
#wayfarer https://t.co/SIpAC0KdSx</t>
  </si>
  <si>
    <t>ヤシの木をアローラナッシーで申請してきたのを２回見たことあったがこれは初めて。
#Wayfarer https://t.co/oVkmYCqsvU</t>
  </si>
  <si>
    <t>編集してたら候補から忽然と消えた申請、約1ヶ月経った今日帰ってきた！コミュニティでの運営の「待ってて」的なレス信じて待ってた。良かったー。審査再開してアプグレ当てよ。　#wayfarer</t>
  </si>
  <si>
    <t>Congratulations to the Klingerman's on your 2020 Tiffin Wayfarer 25LW. We wish you many grand and glorious adventures. 
#Tiffin #Wayfarer #NewRV #Adventure #RoadTrip #Vacation #FamilyFun #Journey #TranswestTruckTrailerRV https://t.co/aOpfi1T6gf</t>
  </si>
  <si>
    <t>Drinking #Wayfarer (can from ⁦@Flavourly⁩) by ⁦@AtlasBrewing⁩ at home  https://t.co/XZMBDrFVjH</t>
  </si>
  <si>
    <t>スポンサーのポケストップを含めたジムの昇格、以前は反映されるまで時間がかかったけど
今回は新しいポケストップができてすぐジムになった！
#wayfarer</t>
  </si>
  <si>
    <t>GBLに興味はあるけど優先順位が低いだけだと思っていたが
家でゆっくり過ごしているときの優先順位が
ポケモン整理＞ジムのポケモンにえさやり＞Wayfarer審査＞GBL
なので、いつそのときが来るかわからない。
#ポケモンGO
#Wayfarer 
#GOバトルリーグ</t>
  </si>
  <si>
    <t>ついつい歌って審査が進まんw
#TMNETWORK #TM12HLIVE 
#wayfarer https://t.co/28ZogcBDZm</t>
  </si>
  <si>
    <t>ポケスト100ヶ所目できてました🎉
実は身内と縁のあるスポット。
良い記念になりました。
#wayfarer #ポケモンGO https://t.co/YARw0kRbIS</t>
  </si>
  <si>
    <t>こんなのはじめてだ
#Wayfarer #認証可否 
#どっちだよ
#ingress #multi_account #multi_user #atwiki #COMMandMORE https://t.co/pPQI7lrIl2</t>
  </si>
  <si>
    <t>それから看板はストビュー上では既存のwayspotのすぐ隣にあるから承認されても近すぎてポケストどころかwayspotにもならない…
知ってる場所、ものだけにすごく悔やまれる
#Wayfarer</t>
  </si>
  <si>
    <t>一回レッドゾーンになって再検査受けたり、いきなり評価上がったりと、この評価の目安ってなんでしょうね？#wayfarer https://t.co/HLppOkol8e</t>
  </si>
  <si>
    <t>ポケモンgoからの申請だと過去撮った写真使えないよね
晴れてくれないと捗らない
もうかなり増やして最近無理があるから歴史調べたりガチャになる案件が多い
早く晴れて☀️
やっと本日認証で53本目
#ポケストップ審査
#ポケストップ申請
#Wayfarer</t>
  </si>
  <si>
    <t>Hot right now on our website is #TheRiser, a smooth take on the classic #wayfarer design, the pop of bright #colour on the inside keeps you bang on #trend for all your outdoor needs. 
https://t.co/e07n7LlbuC #sunglasses #newsunnies https://t.co/PMvbkKnEQs</t>
  </si>
  <si>
    <t>写真を少し変えたりして 何度も申請しているので
通報してます😁👍 #Wayfarer https://t.co/cc2DElTfqa</t>
  </si>
  <si>
    <t>Check out my #humanist #clergy services https://t.co/5T5ayYf6Qw #humanism #celebrant #pastoralcare #pastoralsupport #nonreligious #traumainformed #love #creativitycoaching #wonder #wayfarer #secularhumanism #religioushumanism #existentialism #buddhism #daosim #artist #art #crea…</t>
  </si>
  <si>
    <t>これはポケストになって欲しいから
全力で推した⸜(◍⸍▾⸌◍)⸝笑
お堅い申請、厳し過ぎる審査、
ばっかりでつまんない🙃
もっと気楽にポケストになれば
いいのになー
そろそろIngressとポケモンGO
分けてもいいのでわ🤗✨
#ポケモンGO #Wayfarer https://t.co/WFhogHfYr3</t>
  </si>
  <si>
    <t>Wayspot審査をしてる方にお尋ねです。
公民館、集会所の類ですが「これは何ですか？」と求められたとき何を選択されていますか？
私はよくわからなくて「公共スペース」で処理してるんですが…
＃Wayfarer</t>
  </si>
  <si>
    <t>何がダメなだろう。
教えてください詳しいひと(´°̥̥̥̥̥̥̥̥ω°̥̥̥̥̥̥̥̥｀)
写真追加申請を3回否決されてしまいました。
1回目は個人名（鳥居の奉納者）が写っちゃってたしまあ納得。その後切り取ったけどアウト。
他に何が・・わからんよおぉぁぅ(T ^ T)
#ingress #wayfarer https://t.co/FfdQvAwaC6</t>
  </si>
  <si>
    <t>Some belgium chocolate I got at Pierre Marcoloni in #brussels #belgium
.
.
#localfood #foodpics #foodinstagram #chocolate #sweet #belgiumchocolate #dessert #foodie #foodphotography #foodblogger #wayfarer… https://t.co/uyAqky1Jn7</t>
  </si>
  <si>
    <t>Parece que  la comunidad  de  pokemon go  no aprende #wayfarer https://t.co/c7A50daVcx</t>
  </si>
  <si>
    <t>地元で有名な店なら地元番組やメディアで取材されている
見本『さいち』
【説明に書いたら承認への近道】
・なにが有名か
・どれぐらい売れてるか
・メディアが飛びつく程の店か
✨地元の食べ物や文化は承認✨
これらを書いて承認されてるローカルビジネスはあります
#wayfarer
#ポケモンGO https://t.co/PuTllcPSbT</t>
  </si>
  <si>
    <t>これ以上消火栓を申請するのはやめてくれ 。
https://t.co/maUJdpvhWq
#Wayfarer</t>
  </si>
  <si>
    <t>お店(カフェ)でも、このレベルなら★5つけます🤩
調べたら築１０３年の登録文化財でした😆お店に迷惑かかるとかは一切考慮せず、単純に高評価しました🤗#wayfarer https://t.co/EV9THWeD7M</t>
  </si>
  <si>
    <t>久々にWayfarerを開いて、審査をおおよそ100件完了！ただここ1週間近くサボっていたのと、昨日新規で申請した案件が4件もあるので、今日はあと110件はやっときたいな！ #ポケモンGO #ポケストップ申請 #Wayfarer https://t.co/8MJE3s9neb</t>
  </si>
  <si>
    <t>チェーンで封鎖もされていて、空き土地かも知れないが、遊び場のはずがない。 #ポケモンGO #ポケストップ審査 #Wayfarer https://t.co/0FRoZfXdiE</t>
  </si>
  <si>
    <t>よし！前回の南側に続いて、東側のパーゴラも審査突破！先日に引き続き、パーゴラを2つとも突破できたことで、公園内のポケストップは2倍の数に！(^^)
タスク系のイベント時はポケストがあればそれだけ有利だし、行き帰りで回せる場所なのは大きいぞ！ #ポケモンGO #ポケストップ申請 #Wayfarer https://t.co/v2gjP6IMy4</t>
  </si>
  <si>
    <t>よし、地元にあった散歩道マーカー、新たに審査突破！確認したら色々と「どうかなー」と思う部分があり、諦めていたので、個人的にはラッキー案件！(^^)
位置が結構際どいので、いじられたら生えないかも！生えろ！w #ポケモンGO #ポケストップ申請 #Wayfarer https://t.co/4vh04vuuVJ</t>
  </si>
  <si>
    <t>そして、もう1件承認！今回もなかなか調子良いな！久々の諏訪地区のポケストップ！( ^ω^ ) #ポケモンGO #ポケストップ申請 #Wayfarer https://t.co/l9nHyDwLIV</t>
  </si>
  <si>
    <t>あれ？生えてないと思ったら、4時過ぎたら生えてた！w #ポケモンGO #Wayfarer #ポケストップ申請 https://t.co/jlFNNy4uly</t>
  </si>
  <si>
    <t>そしてまた承認ラッシュ！！ここは無理やり申請した感じだったからさすがに弱いかな〜って思って期待してなかったんだけど、まさかの審査突破！？((((；ﾟДﾟ))))))
ダメ押し枠までポケストになったら、しつこいって言われそう！w #ポケモンGO #ポケストップ申請 #Wayfarer https://t.co/xOrWNUpX3u</t>
  </si>
  <si>
    <t>キタキタキタ…！( ^ω^ ) #ポケモンGO #ポケストップ申請 #Wayfarer https://t.co/Q6gUopikQ3</t>
  </si>
  <si>
    <t>クルっとな…♪ψ(｀∇´)ψ #ポケストップ申請 #Wayfarer #ポケモンGO https://t.co/Mb6lRck4WX</t>
  </si>
  <si>
    <t>今日は3時台に追加になってた！昨日の早い時間帯に審査突破の2箇所が同時の追加！どちらもダメ押し気味の地区の追加ですが、地域に更なる厚みをもたらしてくれることに期待♪( ^ω^ ) #ポケモンGO #ポケストップ申請 #Wayfarer https://t.co/AIOovWLHfL</t>
  </si>
  <si>
    <t>1箇所目！キタキタキタ…！ #ポケモンGO #ポケストップ申請 #Wayfarer https://t.co/sJaaOBZ7Vh</t>
  </si>
  <si>
    <t>クルっとな…♪(￣▽￣) #ポケモンGO #ポケストップ申請 #Wayfarer https://t.co/m2SRWwwKmd</t>
  </si>
  <si>
    <t>2箇所目も到着！キタキタキタ…！( ^ω^ ) #ポケモンGO #ポケストップ申請 #Wayfarer https://t.co/uKEZoj0c8I</t>
  </si>
  <si>
    <t>クルっと、クルっとな…！！！ψ(｀∇´)ψ #ポケモンGO #ポケストップ申請 #Wayfarer https://t.co/ym4dcyKzxS</t>
  </si>
  <si>
    <t>これタイトル不備でよく却下されなかったなぁ…最も適切な説明どれって聞かれてるんだけど何かもわかんないのに説明どう選べと…
#wayfarer https://t.co/BoM6jeS12s</t>
  </si>
  <si>
    <t>Sale  Good Price!  https://t.co/NALUCNu4xV Ray-Ban Denim #wayfarer #sunglasses RB2140 Blue https://t.co/4bLwYuTss6</t>
  </si>
  <si>
    <t>Sale  Good Price!  https://t.co/NALUCNu4xV Ray-Ban Denim #wayfarer #sunglasses RB2140 Blue https://t.co/1kwdL3C1CE</t>
  </si>
  <si>
    <t>Sale  Good Price!  https://t.co/NALUCNu4xV Ray-Ban Denim #wayfarer #sunglasses RB2140 Blue https://t.co/2sdjb3Mq29</t>
  </si>
  <si>
    <t>Sale  Good Price!  https://t.co/NALUCNu4xV Ray-Ban Denim #wayfarer #sunglasses RB2140 Blue https://t.co/py4Vi6jOT6</t>
  </si>
  <si>
    <t>Sale  Good Price!  https://t.co/NALUCNu4xV Ray-Ban Denim #wayfarer #sunglasses RB2140 Blue https://t.co/cx6ETGqtpQ</t>
  </si>
  <si>
    <t>@tos
栃木の語尾“なのですね”説明文……気になってたら最近修整依頼を見かけるようになった🤣やっぱりおかしいよね…(笑)
#wayfarer</t>
  </si>
  <si>
    <t>最近はアプグレ使ってどんどん承認貰えて嬉しい！自分がポケスト作ったきっかけで狙ったところがジム化出来た💪審査頑張りすぎかな…(笑) #wayfarer https://t.co/X0rQf4Arpw</t>
  </si>
  <si>
    <t>団地の中の公園の承認てしていいのか…？
団地の中にスマホ持った大人がウロウロしてると怪しいなと思ったらすぐに承認できなくて…
#wayfarer</t>
  </si>
  <si>
    <t>そりゃそうだよね。だって墓地だもの。 #Wayfarer https://t.co/mmy9fiw1t6</t>
  </si>
  <si>
    <t>補足説明に「歴史的価値がある」と書くなら具体的にどういう価値があるか書いてください。#Wayfarer</t>
  </si>
  <si>
    <t>説明文に「〇〇になります」と書かれているのにすごく違和感を感じるのは私だけでしょうか？ #Wayfarer</t>
  </si>
  <si>
    <t>そんな理由でアパートを申請されても承認できません #Wayfarer https://t.co/lq3nsqbVUE</t>
  </si>
  <si>
    <t>ポータルにせよポケストップにせよ、それは場所であってそこに置いてある物じゃ無いからね。 #Wayfarer</t>
  </si>
  <si>
    <t>同じ橋が漢字と平仮名でポケストップになってる
さらに真ん中付近にあるレリーフらしきものをポケストップ申請している
これって有りなんですかね？
ちゃんと審査してるのか？
＃wayfarer
＃Niantic https://t.co/YbScKp5QqR</t>
  </si>
  <si>
    <t>コレはエモい。
POIになっとらんだろうか？
#wayfarer https://t.co/DyBlnnbdeG</t>
  </si>
  <si>
    <t>コレに続くポスト、#goodPOI の背景になるスゲーストーリーやな。
#wayfarer #岩手 https://t.co/LYFbfZFRNe</t>
  </si>
  <si>
    <t>@amberwb @OldKingCole17 @VABVOX @Wayfair #pizzagate just recorded #wwg1wga try harder #Wayfarer https://t.co/IoSGDKTeZa</t>
  </si>
  <si>
    <t>@NianticHelp how is #Wayfarer rating calculated?
is doing more reviews a factor?
reviews = accepted + rejected + duplicated?</t>
  </si>
  <si>
    <t>#boxing #dog #fight #fightclub #fighter #fitness #fridayfeeling #fridayfitness #fridayflow #fridayfun #fridayoff #jeanclaudevandamme #johnnycage #kickboxing #martialarts #mma #mmagloves #mortalcombat #muaythai #rayban #redsunglasses #tylerdurden #ufc #venum #venumgloves #wayfarer https://t.co/g2v0NpjEHz</t>
  </si>
  <si>
    <t>気のせいかもしれんが、最近は歴史的・文化的な価値の有無とかお構いなしに、とにかく目に入ったものを片っ端からダメ元で申請してるんじゃないかと思うのが増えた。
申請文には「歴史的（文化的）な価値があると思われるので申請する」とか書いて欲しいのだが。
 #Wayfarer</t>
  </si>
  <si>
    <t>Wayfarerでは過去の自分の申請全部見られるから暇つぶしに確認してみたら酷いなこれはw
NIAが審査してた頃は200日300日が当たり前、最長で1300日以上。
その間に他の人の申請が通って重複扱いになるのが半分くらい。
さらにリジェクトの原因不明、Wayfarerではライブしとるしw
 #Wayfarer https://t.co/bqC8CNyxpe</t>
  </si>
  <si>
    <t>申請通った！
けどよく見たら誤字発見！
慌てて編集の申請！
他にもあったら恥ずかしいから審査入る前に見直しておこう…
よりによって誤字のあるやつだけ審査中！
みんな、審査入りする前に誤字脱字はもう一度チェックしておこう…
 #Wayfarer</t>
  </si>
  <si>
    <t>#Wayfarer so people really think kids are being trafficked through cabinets... the cabinet is a make shift object, so that the people who are actually purchasing the kids know what to buy. People can say it’s a glitch in prices but you can’t deny the names of the cabinets.</t>
  </si>
  <si>
    <t>The Wayfarer Way today!! 4-6pm est at https://t.co/KMkABe5Gpx or 97.1FM in Louisville. Tune it for funk, disco, techno, house, dnb, jungle, etc. today!!!! #wayfair #wayfarer #tiktokdown #SpotifyDown #BoycottGoya</t>
  </si>
  <si>
    <t>I do not believe it. Really. Really.🤬🤬 Fotosfera presente e tutti in ordine 😡😡 #wayfarer https://t.co/qPnpKRjuab</t>
  </si>
  <si>
    <t>やっとのことレベル40になって申請出せるようになって、申請から4日でポケストップになりました❗
2キロ先にしかポケストップなかったけど、やっと近くに出来た😂
承認してくれた皆さんありがとうございました🙇
#ポケモンGO 
#wayfarer https://t.co/rhZsHE6hoc</t>
  </si>
  <si>
    <t>レイドのために🚗で10キロ先まで行ってましたが、ついに自宅近くにジムができた‼️
承認してくれた皆様方、本当にありがとうございます🙇
#ポケモンGO 
#Wayfarer https://t.co/DDaAdCOdBt</t>
  </si>
  <si>
    <t>Anybody else curious about how unusually fast #Wayfair success happened? Overnight?
#Wayfair could do that with human trafficking cash or money laundering cash.
They just materialized out of the ether, and BAM, advertising all over the place.
#wayfairtrafficking #Wayfarer https://t.co/RzthlnGRaH</t>
  </si>
  <si>
    <t>え？
近いポータルってスポンサー(伊藤園)のポータルしかないんだけど、スポンサーも近いと弾かれるんだっけ？
#Ingress #Wayfarer https://t.co/wXbVrcn7r4</t>
  </si>
  <si>
    <t>バスターミナルは色々と考えさせます。。
#wayfarer https://t.co/srggocyhDH</t>
  </si>
  <si>
    <t>本日、Wayfarer 1件目の審査案件がまさかの「税務署」！
ぜいむしょ、ゼイムショ、Zeimusyo・・・。
Wayfarerとしてて適切な案件とは何か、について考えさせられます　"(-""-)"
#Wayfarer</t>
  </si>
  <si>
    <t>久しぶりに審査画面開いたけど、
「提出」ボタンを押下後、「次の審査をする」を確認する画面が表示されなくなり、いきなり次の案件が表示されるように変わってて、やっぱり驚いた。
#Wayfarer  #ポケストップ審査 https://t.co/CkfXO9YS8O</t>
  </si>
  <si>
    <t>NIAさん、南極隊員の娯楽確保のためにポケストップ増やしてあげてくださいw
#wayfarer https://t.co/b79g2sCKR2</t>
  </si>
  <si>
    <t>良いものほど、説明が適当だと腹がたちますよね。
申請対象に対するリスペクトが感じられないから。
#Wayfarer 
#ポケモンGO
#ingress https://t.co/dai3qrJpn2</t>
  </si>
  <si>
    <t>一里塚の碑の申請なんですが○○へ一里六…の下が読めない。分かる方教えて欲しいです　#wayfarer https://t.co/76BhGLwFKk</t>
  </si>
  <si>
    <t>審査してたらクールダウンになりました。
パターン化しないようにご注意ください、と言われてもね…
#Wayfarer https://t.co/a32q9Pem7Q</t>
  </si>
  <si>
    <t>幼稚園の前に設置されている祈りの像の申請。近くのお寺から寄進されたと説明欄に書かれてました。
どう判断すべきでしょうか。審査結果が気になります。
#Wayfarer https://t.co/QE51qLuNHI</t>
  </si>
  <si>
    <t>電車の中でポンポン審査をしてたらWayfinder評価がpoorへ落ちた。
世間の感覚とズレてるのかな…
テストを受けてリスタート。
#Wayfarer https://t.co/Ki0mKwl5CI</t>
  </si>
  <si>
    <t>ジム発生条件って、セル内のカウントにはスポンサーを含むんでしたっけ？
前にそのように変更されたことがあったけど一時的なものだと思ってました。
一昨日承認された案件で想定してなかったジムが発生してしまった。
#ポケモンGO
#Wayfarer</t>
  </si>
  <si>
    <t>せめてマンホールを推薦してくるなら、このレベルを推薦してほしい。これならオリジナルなことだけ証明出来たら大丈夫だと思うし。_(:3」∠)_
なお、自分の近所だと北見市のはWayspotになってる。
紋別市は現在ポケふたの横にあったはず。
#Wayfarer
https://t.co/IdH1i5yj1s</t>
  </si>
  <si>
    <t>9486+9806+708
= 20,000 agreements !
ヽ( ・∀・)ﾉ
#wayfarer https://t.co/BlDwMvzbBz</t>
  </si>
  <si>
    <t>あのー。晒しませんが…
タイトルで #Wayfarer に対する不満をぶつけるのやめませんか？
正直、不満呟いてるレベルと同じことしてまっせ…</t>
  </si>
  <si>
    <t>これね。
間近のポータルで昔あったんやけど、ここのポータルアクセスすると土地所有者が迷惑してま的なタイトルにされて、態々その所有者に確認しに行ったこともあるんすよ。
正義感は良いんすが、使い方間違ってますぜ。
削除、不正は審査員にでなくNIAに訴えましょう。
#Wayfarer</t>
  </si>
  <si>
    <t>あ、ちと自己訂正。
Twitter上で不満呟くなと言いたかったのではなく、#Wayfarer のタイトル、説明文修正で「ここは不適切な〇〇です」とかやめませんか？と言う呟きです。（場合にもよりましょうが）
不正、削除申請は Wayfarer の審査員にぶつけるのではなくNIAにお願いしましょうと言う提案。 https://t.co/mmPE0R8glq</t>
  </si>
  <si>
    <t>また来たよ、岡山の自宅申請・・・
審査側から一定数悪評価付いたら申請者を規制できるようになって欲しい。 #Wayfarer #ポケストップ申請 https://t.co/tCaJDBNChb</t>
  </si>
  <si>
    <t>補足写真と入れ替わってたら・・・と思ったけど、ストビューが建設中のものしかないから否認されてもしょうがないかもしれない。 #Wayfarer #ポケストップ申請 #ポケモンGO https://t.co/etWR0Mj1sf</t>
  </si>
  <si>
    <t>宮城県の鹿島台から編集はこんなのばかり
画像を橋にすり替えて、タイトルの変更だろう
タイトルで橋、馬頭観音は間違いようがない
あとは橋に位置修正をして、馬頭観音を新たに申請するやり方
鹿島台のせいで宮城県が一括りで不正の地と認識されかねない
#wayfarer
@niantichelpjp
@NianticJP https://t.co/S9XuFikIbb</t>
  </si>
  <si>
    <t>The fact that #Facebook is fact checking the #Wayfarer story, should tell you that the fact checking is bullshit.
How could FB know for a fact that this story isn’t true? Within minutes they deemed the story false.
Based on what investigation?
Just because they said so? #WakeUp</t>
  </si>
  <si>
    <t>◆公園内の遊具・藤棚・東屋について
一般に公園内の遊具は、ユニークであれば個別でなく１つにまとめて申請できるとNIAから見解が出ています。中小規模の公園POIと遊具POIが存在する場合、藤棚や東屋を新POIとして申請することは可能だと考えますか？
  #Wayfarer</t>
  </si>
  <si>
    <t>自動判別でこいつをレクリエーションセンターとか言い出して笑わせるのやめてｗｗｗ
#Wayfarer https://t.co/AWRrSplncE</t>
  </si>
  <si>
    <t>◆陶芸スタンプラリーのスタンプ台について
窯元のある地域の観光協会が主催する、陶芸に関するスタンプラリーのスタンプ台が申請されました。このポイントは道路からアクセス可能ですが、陶土を精錬する個人の工場の中に入る必要があります。どう評価しますか？
 #Wayfarer</t>
  </si>
  <si>
    <t>◆廃線になった軍需工場への引き込み線について
かつて軍需工場へ資材を運び込んだとされる線路（廃線）が申請されました。現コンビナートの経緯が記され、引き込み線と臨海鉄道の合流点を申請したこと、臨海鉄道に深い関係があり、歴史的に興味深いと思うとあります。どう評価しますか？
#Wayfarer</t>
  </si>
  <si>
    <t>◆駐車場の最奥部にある祠について
石製の祠が申請されました。コの字型にブロック塀が配され、車が10台程度停められる月極駐車場の奥の壁に鎮座しています。規模からして個人の所有物に見えますが確証はありません。こちらは「私有地」と見なして良いでしょうか、通常審査でしょうか。
 #Wayfarer</t>
  </si>
  <si>
    <t>◆防災センターと書かれただんじり倉庫について
地域で管理するだんじり倉庫が申請されました。大きさもかなりあり、数ｍ以上の高さがありますが、シャッターには防災センターと書かれていました。だんじりは歴史的な行事であり基準を満たします、とあります。どう評価しますか？
 #Wayfarer</t>
  </si>
  <si>
    <t>◆AMAが復活
NIAが #Wayfarer に関する質問を受けて付けてるっぽい。
メッチャ来てるので、当たるかはよくわからないが…
ひとまず「申請は試験に合格してからにしろ」みたいなのが結構評価高いみたい。
※正直、今から実装しても遅きに失s…
https://t.co/uyzPOFoeNY</t>
  </si>
  <si>
    <t>◆皆さんに質問
今週明け以降の申請って、審査に回ってないような気がするんですけどいかがですか？
気のせい？
 #Wayfarer https://t.co/4bFH9jUBeS</t>
  </si>
  <si>
    <t>◆集会所と公園が併記される看板について
とある公園の申請がありました。補足説明に看板を写しているのでよく見ると公園名称の下に「◯◯集会所」とありました。既に◯◯集会所はPOIとして生え、集会所の奥に公園があり、看板はその境界に存在します。どう評価しますか？
 #Wayfarer</t>
  </si>
  <si>
    <t>🌈wayfarer🗺🌈
🌟銅メダル🥉ゲットだぜぇ～ポケモンGOのメダル貰えた事にビックリです(゜ﾛ゜;ﾉ)ﾉ
🌈Goロケット団イベント🌈
🌟久しぶりのぉ～サカキぃ～(oﾟ∀ﾟ)=○)´3｀)∴
🌟シャドウスイクンゲットだぜぇ～o(*≧∀≦)ﾉ
#ポケモン #ボケモンGo #PokémonGO #ロケット団
#wayfarer #スイクン https://t.co/rqXD6javyi</t>
  </si>
  <si>
    <t>ベンチだと思うよ…
#wayfarer https://t.co/u6PtVVqYya</t>
  </si>
  <si>
    <t>ポケスト生えた😊2個目なので既存ポケストジム化❗️やったー
#ポケモンGO #wayfarer https://t.co/ufpDGUWShq</t>
  </si>
  <si>
    <t>明後日ポケスト生えるハズ…
ワクワク…
#wayfarer https://t.co/ll8NtkzQZJ</t>
  </si>
  <si>
    <t>ポケスト生えました😊ジム建てミスったかな？
#ポケモンGO #wayfarer https://t.co/tjaPPvYDiL</t>
  </si>
  <si>
    <t>コメリで買った報告すんなや笑
#Wayfarer https://t.co/VESLsNC9MJ</t>
  </si>
  <si>
    <t>急な坂の公園ダブル承認😄😄
東屋の屋根の下に白い猫が寝そべってます（笑）
東屋は生えるの月曜日やな😅
雨で申請行けない日々が続く😭😭
#wayfarer https://t.co/2d9nnQcWEm</t>
  </si>
  <si>
    <t>少し晴れ間が見えたので1件申請🚙
参拝記念のオリジナルパンフレットがあったので貰ってきました😄
このキャラめっちゃカワイイ😍😍
千葉県の南部(昔の安房国)は阿波から開拓された事や、東京浅草の鷟(おおとり)神社も阿波がルーツ等勉強になりました🤗#wayfarer https://t.co/OIfrOK9wB5</t>
  </si>
  <si>
    <t>向麻山公園シリーズ、4つ目承認🤩
大量の虫と格闘しながらクルクル撮影した甲斐がありました😆
あと1つ増やせばジム増えるから
また探してみよう💪
#wayfarer https://t.co/27pT2b98g3</t>
  </si>
  <si>
    <t>Okay for those of you researching Wayfair #wayfair #wayfairtrafficking  #Wayfarer #Hanks 
Most of you know this already
SKU = disturbing search results
SKU's also have names
Example = Alice cabinet followed by SKU
There are codes:-
Pillows = blood, adrenochrome?
Handkerchief.?</t>
  </si>
  <si>
    <t>@FreeSuperhero1 what is the #wayfarer story? I'm googling and all I can find is raybans and pokemons</t>
  </si>
  <si>
    <t>Thank you @SunglassHutSA my favourite @ray_ban #wayfarer sunnies are back. 
New lenses fitted perfectly👌😎 
#rayban #polarised https://t.co/oc8Qg9jfvz</t>
  </si>
  <si>
    <t>Here another #wayfarer irtrafficking connection! https://t.co/mDbDkDbLOc</t>
  </si>
  <si>
    <t>とある場所の案内図という名の地図書かれた看板否認された…。
場所は駐車場脇の歩行者しか入れない所。
これに限らず看板類が全然承認もらえないんだけど、
看板って申請するだけ無駄なのかな？
#wayfarer</t>
  </si>
  <si>
    <t>有識者の方へ
S2セル内のポケスト数に対してジム数が多いんですが、
①誰かが編集でずらしたってことなんでしょうか？
②ポケストとジムが共生してるんですが(写真2)、これはどういう理屈なんでしょうか、、
URLから位置修正したので、位置はあってるんですが、、、
#wayfarer
#ポケモンgo
#ジム https://t.co/LKW3ijdbOy</t>
  </si>
  <si>
    <t>Stunning Dodge Wayfarer for sale. #dodge #wayfarer #classic #lovely #summer https://t.co/s2xynp6CJt</t>
  </si>
  <si>
    <t>#Wayfarer #wayfairtrafficking Omg the listing is real, I just searched it up on duckduckgo and it's still there https://t.co/dsWOiHUK8M</t>
  </si>
  <si>
    <t>@LisaMarieChoko4 @terese_little @Maristlizard I don’t think it is a coincidence that as we were praying against the demonic spirit of predation, that things went wild over #Wayfarer. The Holy Spirit brings to Light, all that has been hidden.</t>
  </si>
  <si>
    <t>うーわー！
一度否認された峠の見晴台が再チャレンジでポケスト認可されたー！！
明日にはポケストできてるだろうからロケット🚀イベントやるときに回しに行こう✨
ハトぽっぽさん・もなかさんはじめ皆さんアドバイスありがとうございました🙂✨✨✨
#Wayfarer</t>
  </si>
  <si>
    <t>LMAOO..😆🤣 the internet is a twisted place!
#wayfairgate #Wayfarer #wayfairscandal #pedogate2020 https://t.co/3wxvI8B43d</t>
  </si>
  <si>
    <t>#Wayfarer and why they call it a ring
Read: https://t.co/M2D4wtX92B</t>
  </si>
  <si>
    <t>Check out my #humanist #clergy services https://t.co/5T5ayXXvrW #humanism #celebrant #pastoralcare #pastoralsupport #nonreligious #traumainformed #love #creativitycoaching #wonder #wayfarer #secularhumanism #religioushumanism #existentialism #buddhism #daosim #artist #art #crea…</t>
  </si>
  <si>
    <t>Ten more days for Moses!
In the verse of the Qur'an, God states that: “We appointed for Moses thirty nights, and completed (the period) with ten (more)”…. 
https://t.co/dAcGLZpEJA
#moses #story #perfection #wayfarer #mountains #jesus  #mosesprophet #purify #theschoolofrevelation https://t.co/fRYy6w6Aex</t>
  </si>
  <si>
    <t>NEW SHADES 😎
https://t.co/u38ryYtB2r [original classic polarized sunglasses just released]
#represent #originalclassic #sunglasses #polarized #wayfarer #rephard #neverestablished #alwaysforward https://t.co/yLi324JZom</t>
  </si>
  <si>
    <t>過渡期なんだなぁと思うのよね。
#wayfarer https://t.co/mmGKckheSj</t>
  </si>
  <si>
    <t>やっと位置修正できた٩( 'ω' )و
別セルになって、新たなポケストができるわけだが
航空写真でも位置がわかるのにピンが建物の中にズレて生えていた
ナイアン審査の時のものだからだろう
なにが言いたいか
・ズレて生えてるのは結構ある
・位置修正次第ではジムやポケスト増える
#wayfarer https://t.co/Z81Pj3LYgJ</t>
  </si>
  <si>
    <t>京都には精進料理に欠かせない「柚味噌」があるんだ
おっ、知恩院でも使われてたのか
知恩院に行った時は山門の大きさに圧倒されたっけ
そうだ、山門じゃなくて三門で日本最大級の木造の門だった
知識がリンクされるのは気持ちいい
創業年に少しズレはあるが、高評価にしました！
#wayfarer https://t.co/B7mccfloA4</t>
  </si>
  <si>
    <t>スターバックスの日本1号店のポータルを見て、宮城にも全国的な店で1号店がありゃしないかと検索
すると出てきたのは、今はなき「サンクス」
1号店は仙台市にあったのか…しんみり
また、びっくりドンキーの1号店として盛岡にはポータルがある
探せば1号店が地元にもあるかも？！
#wayfarer https://t.co/5dwj8vBt6b</t>
  </si>
  <si>
    <t>シャッターアートって脊髄反射的に承認されがちだけど、特に芸術的でもインパクトあるわけでもないヤツって価値あるのかな
#ingress
#ポケモンＧＯ
#Wayfarer</t>
  </si>
  <si>
    <t>承認されました。ポータルになります。
セルかぶりのため、ポケストにはなりません。
審査ありがとうございました！
#Wayfarer https://t.co/dTwaDwG2Sa</t>
  </si>
  <si>
    <t>山の中、けっこう申請候補がある。
ただし、当然の事ながらストビューがないので撮影&amp;amp;アップロードしてる間、虫がヤバイ
#Wayfarer 
#ポケモンGO
#ingress</t>
  </si>
  <si>
    <t>申請した「ドブ」が承認されました。
審査ありがとうございました！
#ingress
#ポケモンGO
#Wayfarer</t>
  </si>
  <si>
    <t>蚊に刺されながら申請した候補、承認されました。
ありがとうございます
#ポケモンGO
#ingress
#Wayfarer https://t.co/1gEsQY73EF</t>
  </si>
  <si>
    <t>◆児童館が併設される図書館について
都内の某図書館が申請されました。入口正面の画像で新設の図書館であるとわかりましたが、「〇〇図書館」の文字の下に「〇〇児童館」という表記も見られました。児童館はK12案件として削除対象になりますが、このまま図書館として審査可能でしょうか。
#Wayfarer</t>
  </si>
  <si>
    <t>◆駅前バスターミナルについて
地方の中規模都市にある駅前バスターミナルが申請されました。バスターミナルはバス停とは違い、wayspot基準を満たします。観光名所や〇〇温泉へのバスが出るバスターミナルであり、観光客も多く利用されます。とありました。どう評価しますか？
 #Wayfarer</t>
  </si>
  <si>
    <t>◆有名映画のロケ地になった電器店について
シャッターの閉まった電器店が申請されました。有名な映画のロケ地となった場所で、何度も名シーンが撮影されたとあります。ただ、外観はやや古ぼけており、映画名で調べると電器店の建物は店舗兼住宅の可能性があります。どう評価しますか？
 #Wayfarer</t>
  </si>
  <si>
    <t>◆地域老人会が管理する花壇について
〇〇地区花壇という申請がありました。小ぶりな公園くらいの広さがあり「色々な花が植えられています。地域の老人会が大切に育てています(原文)」とありました。路地に一部面しており、安全にアクセスできそうです。どう評価しますか？
#Wayfarer</t>
  </si>
  <si>
    <t>◆社員寮にある東屋について
道路沿いにマンションタイプの社員寮があり、その庭先にある東屋が申請されました。庭も含めた敷地は低い生垣で囲われており、社員寮からでないと東屋に行くことはできません。道路に面していて、東屋はハッキリ見えます。どう評価しますか？
#Wayfarer</t>
  </si>
  <si>
    <t>◆中小企業大学校について
独立行政法人・中小企業基盤整備機構が設立する中小企業大学校が申請されました。「中小企業の人材育成を主に行い、後継者や経営者を対象に様々な研修を行います(原文)」とあります。どう評価しますか？
 #Wayfarer</t>
  </si>
  <si>
    <t>さる登録文化財がRejectされた！というのを見たけど、説明文が時代しか書いてない（室町時代とか）ので「うーん、それは…」って感じた。
対象物について用語をタイトルにしたのはいいが、説明が全くないのもいかがなものだろう。
大抵Rejectには理由がある、というのが本音だ。（続く）
#Wayfarer https://t.co/3dxjzL9P7Z</t>
  </si>
  <si>
    <t>◆幼稚園に隣接する教会について
団地内にある教会が申請されました。隣に広場らしきものが見えるので確認すると、建物は別ですが、隣の位置に幼稚園がある（教会横に階段があり、幼稚園の校庭に下りれる）ことがわかりました。伝統的な教会ですとありました。どう評価しますか？
 #Wayfarer</t>
  </si>
  <si>
    <t>今日も朝から、消火栓、一時的な掲示物、自宅ガレージを別の名前で申請したのがずっと続いて、クールダウン発生
ほぼポケストップがって書いてあるものばかり
基準満たさないのを措置すると、お仕置きされるのって
おかしいよね
＃Wayfarer</t>
  </si>
  <si>
    <t>こういうオブジェは、ユニークなのか？
という疑問が常にの残るんですね
ただの住宅街の認識で良いのかな・・・
Wayspotも、格付けが必要なんだろうな
このオブジェ、既存含め見通し悪い交差点だから
個人的にはPOIを配置すべきではないと思いますがね
＃Wayfarer https://t.co/1yvnZ1IJtw</t>
  </si>
  <si>
    <t>Wayfarerはやいとこ位置補正できないかな
不適切な位置にあるのを措置したいんですよね
理由は、高架上の道路から高架下のPOIを
運転中に利用が多い事
社殿あたりが適切ですが
入口の写真をイイねして固定化することで補正を避けてる
迂回して利用とは思えない移動速度の悪事が止まない
#Wayfarer https://t.co/71T3tttH9F</t>
  </si>
  <si>
    <t>これはちょっと酷い審査かな
過去はわかるけど、写真の中央部は、こうなってる
組織的にいいねしてる感じが強いけど
いいねした方は配慮が足りない気がするよ
利用許可がいる場所、集団でいいね？
どういう事なのか？
エージェント名はプレイすれば誰でも見られるからまんまで
#wayfarer https://t.co/CbEyROl13t</t>
  </si>
  <si>
    <t>このパターン、自分も経験してるけど悔しいね
でもその場所が認められるのは少しうれしい
#Wayfarer https://t.co/Bn8HmiP6rN</t>
  </si>
  <si>
    <t>Il fatto che #Facebook stia verificando la storia di #Wayfarer, dovrebbe dirvi che il controllo dei fatti è una stronzata.
Come può FB sapere  che #Wayfair è una storia falsa?  
Lo sanno in pochi minuti.
In base a quale indagine?
Solo perché l'hanno detto loro?  
#WakeUp https://t.co/07FBDmCkVE</t>
  </si>
  <si>
    <t>Got new lenses for my favorite glasses—my Ray-Bans. Put em on and BOOM... I’m 1950.  #glasses #rayban #wayfarer #fashion #nerd https://t.co/p7sv72Es0W</t>
  </si>
  <si>
    <t>大学はいいんだっけ？
まあ、これなら外からアクセスできそうだし、よさそうだけど、ポケGOで東工大の田町キャンパスのジムに行った時は、部外者は入るなって事務の人っぽい人に言われたんだよね（ジムだけに）。なので、正直なところ、大学も避けたいところ(^^;;
#Wayfarer https://t.co/SSS4ZGsZiG</t>
  </si>
  <si>
    <t>#Wayfarer、「散歩コース案内板（200m）」とか、OKにしたくないが、周囲のポータルを調べてみると100ｍが存在していて、ぐぬぬ‥‥となるｗ</t>
  </si>
  <si>
    <t>#wayfarer is a #pedophelia operation!!!!</t>
  </si>
  <si>
    <t>🔴🔵⚫️⚫️
 Trump cut off the highway at the borders for transporting these kids now they’re using these websites to box them and send them right in front of our eyes #WeAreTheNewsNow
#Amazon #Wayfarer #WeSeeYou #QAnon #Trump2020 #ObamaGate https://t.co/B7aT9QwnjM</t>
  </si>
  <si>
    <t>👿🔴Trump cut off the highway at the borders for transporting these kids now they’re using these websites to box them and send them right in front of our eyes #WeAreTheNewsNow
#Amazon #Wayfarer #WeSeeYou #QAnon #Trump2020 #ObamaGate
https://t.co/MVsKVeb7Ht</t>
  </si>
  <si>
    <t>🔴Trump cut off the highway at the borders for transporting these kids now they’re using these websites to box them and send them right in front of our eyes #WeAreTheNewsNow
#Amazon #Wayfarer #WeSeeYou #QAnon #Trump2020 #ObamaGate
https://t.co/MVsKVeb7Ht</t>
  </si>
  <si>
    <t>⬛️⬛️⬛️⬛️⬛️⬛️⬛️⬛️⬛️⬛️⬛️⬛️⬛️
 Did they all work for our government? Did one go rogue? Are they all rogue? Time to do it again  #qanoms 
#WeAreTheNewsNow #Wayfarer #ObamaGate #Trump2020 #FreeFlynn https://t.co/sBAtt6kGMe</t>
  </si>
  <si>
    <t>@bman304 @timetowakeupsw1 🔴Trump cut off the highway at the borders for transporting these kids now they’re using these websites to box them and send them right in front of our eyes #WeAreTheNewsNow
#Amazon #Wayfarer #WeSeeYou #QAnon #Trump2020 #ObamaGate
https://t.co/MVsKVeb7Ht</t>
  </si>
  <si>
    <t>私は「緊急車両の邪魔になる」「無関係人が集まったら迷惑」って理由で、病院や介護施設の申請は☆1にしてるんだけど、他の人はそこまで気にしていないんだね。
(´･ω･`)
 #wayfarer https://t.co/ctsHuL113I</t>
  </si>
  <si>
    <t>写ってますよ〜！
Σ（・□・；）
 #wayfarer https://t.co/Jz3A3r4GvM</t>
  </si>
  <si>
    <t>何これww
初めてこんなふざけた申請が来た😠
#wayfarer
#ポケストップ申請 
#ポケストップ審査 https://t.co/ZiluRjyZnF</t>
  </si>
  <si>
    <t>どういう…ことだ…？
#ポケストップ審査
#Wayfarer https://t.co/PBU5QBug3t</t>
  </si>
  <si>
    <t>鉄板だと思ってた公園の藤棚なんだが否認されてしまった。
今気づくと対象の場所に地図合わせるとストリートビューで公園じゃない住宅向くんだよね…補足説明で見にくいから航空写真見てって書いたけどなぁ
また不審者的動きでストリートビュー撮影するしかないのか…
#ポケストップ申請
#Wayfarer https://t.co/yoHaQUj2XH</t>
  </si>
  <si>
    <t>『蟲』と表記した場合は「虫」とされるものに限らず、「虫」とは思われないネズミ・爬虫類や両生類など一部の脊椎動物をも含んだ表現になる。
#ポケストップ審査
#Wayfarer https://t.co/6gg1kQaUr9</t>
  </si>
  <si>
    <t>いつもの小鳥の車止めではなかったのですが、こちらは珍しいのでしょうか？もしかしてこの地域では量産品タイプ？
#Wayfarer https://t.co/ya9hGGsZvl</t>
  </si>
  <si>
    <t>これは、何だろう？観音像碑って書かれていたのに違和感はしましたが…
#Wayfarer 
#nianticwayfarer https://t.co/e18jQmiUgj</t>
  </si>
  <si>
    <t>戦没者の碑はいいのかな？個人名が二人。審査で見かける忠魂碑ぐらいのサイズ。
#Wayfarer 
#</t>
  </si>
  <si>
    <t>このような承認基準がありますか？
#Wayfarer
#nianticwayfarer https://t.co/CF8JhB0WOA</t>
  </si>
  <si>
    <t>ポケストがほしい、ジムがほしいではなく
過疎地域に貢献すると言う意識でやると楽しいかもしれませんよ
#Wayfarer</t>
  </si>
  <si>
    <t>そうであるか♪
郵便局として申請しておけばガチガチに生えたのに
通しましたが
#wayfarer https://t.co/nK5sz1nUDS</t>
  </si>
  <si>
    <t>こういうアンダーパスみたいなのたまに来るけどなにこれ
#wayfarer https://t.co/BwCLtQSBRo</t>
  </si>
  <si>
    <t>kだとかyだとかクソみたいな自己顕示欲出さないで欲しい
 #Wayfarer https://t.co/jMTGU9VbGj</t>
  </si>
  <si>
    <t>がっつり審査始まってて草
#Wayfarer https://t.co/DMTovWbSku</t>
  </si>
  <si>
    <t>補足写真さえちゃんと撮れてれば通したのに、という申請が結構ある
頭使って補足してくださ〜い
#Wayfarer</t>
  </si>
  <si>
    <t>@Thomas1774Paine @MAGA2ARIGHTS Thank you once again ADT Newsom #ImpeachNewsom
#Wayfarer 
#ObamaGate
#WeAreTheNewsNow #QAnon</t>
  </si>
  <si>
    <t>@reaIDonalTrump_ @s00nergirl 🔴Trump cut off the highway at the borders for transporting these kids now they’re using these websites to box them and send them right in front of our eyes #WeAreTheNewsNow
#Amazon #Wayfarer #WeSeeYou #QAnon #Trump2020 #ObamaGate
https://t.co/MVsKVeb7Ht</t>
  </si>
  <si>
    <t>@YC727USA @PhoenxRisng1776 🔴Trump cut off the highway at the borders for transporting these kids now they’re using these websites to box them and send them right in front of our eyes #WeAreTheNewsNow
#Amazon #Wayfarer #WeSeeYou #QAnon #Trump2020 #ObamaGate
https://t.co/MVsKVeb7Ht</t>
  </si>
  <si>
    <t>@rubble30 @YC727USA 🔴Trump cut off the highway at the borders for transporting these kids now they’re using these websites to box them and send them right in front of our eyes #WeAreTheNewsNow
#Amazon #Wayfarer #WeSeeYou #QAnon #Trump2020 #ObamaGate
https://t.co/MVsKVeb7Ht</t>
  </si>
  <si>
    <t>@totemranch613 🔴Trump cut off the highway at the borders for transporting these kids now they’re using these websites to box them and send them right in front of our eyes #WeAreTheNewsNow
#Amazon #Wayfarer #WeSeeYou #QAnon #Trump2020 #ObamaGate
https://t.co/MVsKVeb7Ht</t>
  </si>
  <si>
    <t>@johnpecco1 @emfvet78 @FBI @Wayfair 🔴Trump cut off the highway at the borders for transporting these kids now they’re using these websites to box them and send them right in front of our eyes #WeAreTheNewsNow
#Amazon #Wayfarer #WeSeeYou #QAnon #Trump2020 #ObamaGate
https://t.co/MVsKVeb7Ht</t>
  </si>
  <si>
    <t>What a day, #willandJada, #Wayfarer, and #UFC251 LOVE TO SEE IT</t>
  </si>
  <si>
    <t>アプデ0.181.0A64したらポケストップ申請がバグでできないのか？(受理メールが来ない) #Wayfarer</t>
  </si>
  <si>
    <t>Artisan series from Lookstore
Semi transparent blue shell
#handmade #acetate #shellframes
#artisanseries #designercollection #lookstore #lookstoreindia #lookstoresunglasses #wayfarer #shell #handcrafted #lookstoresunglasses
#sunglassesindia
Stay connec… https://t.co/R7EGZoyz4w https://t.co/061YHm3TTm</t>
  </si>
  <si>
    <t>Artisan series from Lookstore
Tortoise shell
#handmade #acetate #shellframes
#artisanseries #designercollection #lookstore #lookstoreindia #lookstoresunglasses #wayfarer #shell #handcrafted #lookstoresunglasses
#sunglassesindia
Stay connected : www.loo… https://t.co/qDnAr0jXUF https://t.co/z4VrAqdQrw</t>
  </si>
  <si>
    <t>Artisan series from Lookstore
Tortoise shell
#handmade #acetate #shellframes
#artisanseries #designercollection #lookstore #lookstoreindia #lookstoresunglasses #wayfarer #shell #handcrafted #lookstoresunglasses
#sunglassesindia #shell
#shellframe #aceta… https://t.co/y3LW4CYM9p https://t.co/s7N3QDaYxC</t>
  </si>
  <si>
    <t>@DeplorQult45 @marymauldin @AbrahamWooster @KarluskaP @MittRomney 🔴Trump cut off the highway at the borders for transporting these kids now they’re using these websites to box them and send them right in front of our eyes #WeAreTheNewsNow
#Amazon #Wayfarer #WeSeeYou #QAnon #Trump2020 #ObamaGate
https://t.co/MVsKVeb7Ht</t>
  </si>
  <si>
    <t>👿🔴🔵⚫️⚫️
 Trump cut off the highway at the borders for transporting these kids now they’re using these websites to box them and send them right in front of our eyes #WeAreTheNewsNow
#Amazon #Wayfarer #WeSeeYou #QAnon #Trump2020 #ObamaGate https://t.co/BZiOE1G69z</t>
  </si>
  <si>
    <t>🔴🔵⚫️⚫️👿👿👿👿👿👿
 Trump cut off the highway at the borders for transporting these kids now they’re using these websites to box them and send them right in front of our eyes #WeAreTheNewsNow
#Amazon #Wayfarer #WeSeeYou #QAnon #Trump2020 #ObamaGate</t>
  </si>
  <si>
    <t>そして増えないWayfarerメダル
#ポケモンGO
#Wayfarer https://t.co/IPTFe8tOXD</t>
  </si>
  <si>
    <t>https://ingress.lycaeum.net/2020/04/20200403-0449.html https://twitter.com/momo99momo1/status/1279634959196581888</t>
  </si>
  <si>
    <t>twitter.com</t>
  </si>
  <si>
    <t>barnfinds.com</t>
  </si>
  <si>
    <t>youtube.com</t>
  </si>
  <si>
    <t>twitch.tv</t>
  </si>
  <si>
    <t>instagram.com</t>
  </si>
  <si>
    <t>lycaeum.net twitter.com</t>
  </si>
  <si>
    <t>lycaeum.net</t>
  </si>
  <si>
    <t>squadhelp.com</t>
  </si>
  <si>
    <t>etsy.com</t>
  </si>
  <si>
    <t>nianticlabs.com</t>
  </si>
  <si>
    <t>org.uk</t>
  </si>
  <si>
    <t>bikepacking.com</t>
  </si>
  <si>
    <t>metalitalia.com</t>
  </si>
  <si>
    <t>ingress.com</t>
  </si>
  <si>
    <t>medium.com</t>
  </si>
  <si>
    <t>untappd.com</t>
  </si>
  <si>
    <t>bloceyewear.com</t>
  </si>
  <si>
    <t>facebook.com</t>
  </si>
  <si>
    <t>ebay.com</t>
  </si>
  <si>
    <t>artxfm.com</t>
  </si>
  <si>
    <t>twitlonger.com</t>
  </si>
  <si>
    <t>representltd.com</t>
  </si>
  <si>
    <t>gk-p.jp</t>
  </si>
  <si>
    <t>pokemongo wayfarer niantic</t>
  </si>
  <si>
    <t>wayfarer ポケストップ 審査</t>
  </si>
  <si>
    <t>ポケモンgo wayfarer</t>
  </si>
  <si>
    <t>wayfarer</t>
  </si>
  <si>
    <t>dodge wayfarer</t>
  </si>
  <si>
    <t>wayfarer pogo ingress</t>
  </si>
  <si>
    <t>wayfarer ポケストップ申請</t>
  </si>
  <si>
    <t>ポケモンgo pokemongo wayfarer おうちでポケモンgo</t>
  </si>
  <si>
    <t>ポータル申請 wayfarer</t>
  </si>
  <si>
    <t>rayban wayfarer classiclook</t>
  </si>
  <si>
    <t>pokemongo wayfarer</t>
  </si>
  <si>
    <t>wayfarer nianticwayfarer</t>
  </si>
  <si>
    <t>wayfarer streamers smallstreamersconnect twitch twitchstreamer supstreamer smallstreamers twitchaffiliate gfuel teamgamma retweet_twitch smallstreamercommunity rsg_retweets</t>
  </si>
  <si>
    <t>wayfarer streamers smallstreamersconnect twitch</t>
  </si>
  <si>
    <t>houseoflunettes rayban wayfarer sunglasses authentic mensfashion</t>
  </si>
  <si>
    <t>wayfarer travel app tourism traveltips destinations jeeptours cruise brandingtips wayfarious</t>
  </si>
  <si>
    <t>ootd fashion tshirt purple jeans blue allstar shoes converse red blonde wayfarer sunglasses urban style</t>
  </si>
  <si>
    <t>ootd fashion tshirt purple jeans blue allstar shoes converse red</t>
  </si>
  <si>
    <t>wayfarer wayspot</t>
  </si>
  <si>
    <t>etsyshop bolle sunglasses retro vintage snowboard ski skiing wayfarer 90s bolleirex designer red</t>
  </si>
  <si>
    <t>wayfarer ingress ポケモンgo 魔法同盟</t>
  </si>
  <si>
    <t>wayfarer pokemongo</t>
  </si>
  <si>
    <t>ポケモンgo wayfarer nianticwayfarer</t>
  </si>
  <si>
    <t>wayfarer explorer birthdaybikepacking</t>
  </si>
  <si>
    <t>birthdaybikepacking wayfarer explorer</t>
  </si>
  <si>
    <t>routemaster birthdaybikepacking wayfarer</t>
  </si>
  <si>
    <t>rayban wayfarer optica majadahonda tucentrooptico venyveras gafas gafasdesol gafasdemarca</t>
  </si>
  <si>
    <t>virginia sunset photography world photoshop 写真 写真で伝えたい私の世界 旅行 アメリカ 放浪癖 日没 写真撮影 世界 wanderlust wayfarer</t>
  </si>
  <si>
    <t>pokemongo g2g wayfarer twitch</t>
  </si>
  <si>
    <t>ama wayfarer ingress</t>
  </si>
  <si>
    <t>tiffin wayfarer newrv adventure roadtrip vacation familyfun journey transwesttrucktrailerrv</t>
  </si>
  <si>
    <t>ポケモンgo wayfarer goバトルリーグ</t>
  </si>
  <si>
    <t>tmnetwork tm12hlive wayfarer</t>
  </si>
  <si>
    <t>wayfarer ポケモンgo</t>
  </si>
  <si>
    <t>wayfarer 認証可否 どっちだよ ingress multi_account multi_user atwiki commandmore</t>
  </si>
  <si>
    <t>ポケストップ審査 ポケストップ申請 wayfarer</t>
  </si>
  <si>
    <t>theriser wayfarer colour trend sunglasses newsunnies</t>
  </si>
  <si>
    <t>humanist clergy humanism celebrant pastoralcare pastoralsupport</t>
  </si>
  <si>
    <t>ingress wayfarer</t>
  </si>
  <si>
    <t>brussels belgium localfood foodpics foodinstagram chocolate sweet belgiumchocolate dessert foodie foodphotography foodblogger wayfarer</t>
  </si>
  <si>
    <t>wayfarer beekeepershour</t>
  </si>
  <si>
    <t>ポケモンgo ポケストップ申請 wayfarer</t>
  </si>
  <si>
    <t>ポケモンgo ポケストップ審査 wayfarer</t>
  </si>
  <si>
    <t>ポケモンgo wayfarer ポケストップ申請</t>
  </si>
  <si>
    <t>ポケストップ申請 wayfarer ポケモンgo</t>
  </si>
  <si>
    <t>wayfarer sunglasses</t>
  </si>
  <si>
    <t>wayfarer niantic</t>
  </si>
  <si>
    <t>goodpoi wayfarer 岩手</t>
  </si>
  <si>
    <t>pizzagate wwg1wga wayfarer</t>
  </si>
  <si>
    <t>boxing dog fight fightclub fighter fitness fridayfeeling fridayfitness fridayflow fridayfun fridayoff jeanclaudevandamme johnnycage kickboxing martialarts mma mmagloves mortalcombat muaythai rayban redsunglasses tylerdurden ufc venum venumgloves wayfarer</t>
  </si>
  <si>
    <t>wayfair wayfarer tiktokdown spotifydown boycottgoya</t>
  </si>
  <si>
    <t>wayfair wayfair</t>
  </si>
  <si>
    <t>wayfair wayfair wayfairtrafficking wayfarer</t>
  </si>
  <si>
    <t>wayfarer ポケストップ審査</t>
  </si>
  <si>
    <t>wayfarer ポケモンgo ingress</t>
  </si>
  <si>
    <t>wayfarer ポケストップ申請 ポケモンgo</t>
  </si>
  <si>
    <t>facebook wayfarer</t>
  </si>
  <si>
    <t>ポケモン ボケモンgo pokémongo ロケット団 wayfarer スイクン</t>
  </si>
  <si>
    <t>wayfair wayfairtrafficking wayfarer hanks</t>
  </si>
  <si>
    <t>wayfarer rayban polarised</t>
  </si>
  <si>
    <t>wayfarer ポケモンgo ジム</t>
  </si>
  <si>
    <t>dodge wayfarer classic lovely summer</t>
  </si>
  <si>
    <t>wayfarer wayfairtrafficking</t>
  </si>
  <si>
    <t>wayfairgate wayfarer wayfairscandal pedogate2020</t>
  </si>
  <si>
    <t>humanist clergy humanism celebrant pastoralcare pastoralsupport nonreligious traumainformed love creativitycoaching wonder wayfarer secularhumanism religioushumanism existentialism buddhism daosim artist art crea</t>
  </si>
  <si>
    <t>moses story perfection wayfarer mountains jesus mosesprophet purify theschoolofrevelation</t>
  </si>
  <si>
    <t>represent originalclassic</t>
  </si>
  <si>
    <t>ingress ポケモンｇｏ wayfarer</t>
  </si>
  <si>
    <t>ingress ポケモンgo wayfarer</t>
  </si>
  <si>
    <t>ポケモンgo ingress wayfarer</t>
  </si>
  <si>
    <t>facebook wayfarer wayfair wakeup</t>
  </si>
  <si>
    <t>glasses rayban wayfarer fashion nerd</t>
  </si>
  <si>
    <t>represent originalclassic sunglasses polarized wayfarer rephard neverestablished alwaysforward</t>
  </si>
  <si>
    <t>wayfarer pedophelia</t>
  </si>
  <si>
    <t>wayfarer ポケストップ申請 ポケストップ審査</t>
  </si>
  <si>
    <t>ポケストップ審査 wayfarer</t>
  </si>
  <si>
    <t>ポケストップ申請 wayfarer</t>
  </si>
  <si>
    <t>impeachnewsom wayfarer obamagate wearethenewsnow qanon</t>
  </si>
  <si>
    <t>wearethenewsnow amazon wayfarer weseeyou qanon trump2020 obamagate</t>
  </si>
  <si>
    <t>willandjada wayfarer ufc251</t>
  </si>
  <si>
    <t>facebook wayfarer wakeup</t>
  </si>
  <si>
    <t>handmade acetate shellframes artisanseries designercollection lookstore lookstoreindia lookstoresunglasses wayfarer shell handcrafted lookstoresunglasses sunglassesindia</t>
  </si>
  <si>
    <t>handmade acetate shellframes artisanseries designercollection lookstore lookstoreindia lookstoresunglasses wayfarer shell handcrafted lookstoresunglasses sunglassesindia shell shellframe aceta</t>
  </si>
  <si>
    <t>qanoms wearethenewsnow wayfarer obamagate trump2020 freeflynn</t>
  </si>
  <si>
    <t>16:13:12</t>
  </si>
  <si>
    <t>17:08:30</t>
  </si>
  <si>
    <t>00:46:10</t>
  </si>
  <si>
    <t>01:37:21</t>
  </si>
  <si>
    <t>12:09:58</t>
  </si>
  <si>
    <t>12:21:06</t>
  </si>
  <si>
    <t>16:09:25</t>
  </si>
  <si>
    <t>18:10:44</t>
  </si>
  <si>
    <t>00:55:09</t>
  </si>
  <si>
    <t>02:30:50</t>
  </si>
  <si>
    <t>03:10:44</t>
  </si>
  <si>
    <t>16:00:52</t>
  </si>
  <si>
    <t>03:35:17</t>
  </si>
  <si>
    <t>04:52:49</t>
  </si>
  <si>
    <t>04:56:48</t>
  </si>
  <si>
    <t>06:28:32</t>
  </si>
  <si>
    <t>08:37:05</t>
  </si>
  <si>
    <t>09:49:15</t>
  </si>
  <si>
    <t>09:56:58</t>
  </si>
  <si>
    <t>11:32:35</t>
  </si>
  <si>
    <t>12:58:15</t>
  </si>
  <si>
    <t>12:58:56</t>
  </si>
  <si>
    <t>13:32:40</t>
  </si>
  <si>
    <t>15:57:31</t>
  </si>
  <si>
    <t>17:08:20</t>
  </si>
  <si>
    <t>16:49:47</t>
  </si>
  <si>
    <t>17:47:39</t>
  </si>
  <si>
    <t>00:03:55</t>
  </si>
  <si>
    <t>02:23:37</t>
  </si>
  <si>
    <t>11:15:03</t>
  </si>
  <si>
    <t>11:29:14</t>
  </si>
  <si>
    <t>18:40:03</t>
  </si>
  <si>
    <t>07:55:10</t>
  </si>
  <si>
    <t>15:03:53</t>
  </si>
  <si>
    <t>15:15:18</t>
  </si>
  <si>
    <t>15:25:31</t>
  </si>
  <si>
    <t>15:29:08</t>
  </si>
  <si>
    <t>15:29:41</t>
  </si>
  <si>
    <t>08:17:02</t>
  </si>
  <si>
    <t>16:02:29</t>
  </si>
  <si>
    <t>18:16:07</t>
  </si>
  <si>
    <t>19:00:08</t>
  </si>
  <si>
    <t>21:30:45</t>
  </si>
  <si>
    <t>22:42:14</t>
  </si>
  <si>
    <t>22:43:50</t>
  </si>
  <si>
    <t>23:26:41</t>
  </si>
  <si>
    <t>23:54:53</t>
  </si>
  <si>
    <t>00:21:33</t>
  </si>
  <si>
    <t>04:39:46</t>
  </si>
  <si>
    <t>01:23:10</t>
  </si>
  <si>
    <t>05:27:28</t>
  </si>
  <si>
    <t>07:56:04</t>
  </si>
  <si>
    <t>05:47:48</t>
  </si>
  <si>
    <t>08:52:48</t>
  </si>
  <si>
    <t>02:34:40</t>
  </si>
  <si>
    <t>09:29:54</t>
  </si>
  <si>
    <t>21:56:49</t>
  </si>
  <si>
    <t>12:13:38</t>
  </si>
  <si>
    <t>15:48:32</t>
  </si>
  <si>
    <t>06:59:48</t>
  </si>
  <si>
    <t>06:59:33</t>
  </si>
  <si>
    <t>03:03:27</t>
  </si>
  <si>
    <t>04:40:58</t>
  </si>
  <si>
    <t>19:30:11</t>
  </si>
  <si>
    <t>21:52:42</t>
  </si>
  <si>
    <t>00:38:15</t>
  </si>
  <si>
    <t>00:12:52</t>
  </si>
  <si>
    <t>01:59:48</t>
  </si>
  <si>
    <t>02:04:56</t>
  </si>
  <si>
    <t>02:06:00</t>
  </si>
  <si>
    <t>02:06:57</t>
  </si>
  <si>
    <t>02:32:37</t>
  </si>
  <si>
    <t>02:43:59</t>
  </si>
  <si>
    <t>02:54:30</t>
  </si>
  <si>
    <t>03:06:12</t>
  </si>
  <si>
    <t>06:17:40</t>
  </si>
  <si>
    <t>06:05:12</t>
  </si>
  <si>
    <t>06:44:58</t>
  </si>
  <si>
    <t>07:56:01</t>
  </si>
  <si>
    <t>02:04:06</t>
  </si>
  <si>
    <t>02:05:23</t>
  </si>
  <si>
    <t>08:00:10</t>
  </si>
  <si>
    <t>00:31:15</t>
  </si>
  <si>
    <t>00:40:39</t>
  </si>
  <si>
    <t>09:33:14</t>
  </si>
  <si>
    <t>09:41:00</t>
  </si>
  <si>
    <t>09:59:44</t>
  </si>
  <si>
    <t>10:34:20</t>
  </si>
  <si>
    <t>11:00:24</t>
  </si>
  <si>
    <t>11:23:04</t>
  </si>
  <si>
    <t>11:43:57</t>
  </si>
  <si>
    <t>14:12:23</t>
  </si>
  <si>
    <t>13:23:16</t>
  </si>
  <si>
    <t>14:15:44</t>
  </si>
  <si>
    <t>15:52:12</t>
  </si>
  <si>
    <t>16:31:42</t>
  </si>
  <si>
    <t>20:39:53</t>
  </si>
  <si>
    <t>21:30:10</t>
  </si>
  <si>
    <t>02:39:00</t>
  </si>
  <si>
    <t>22:47:33</t>
  </si>
  <si>
    <t>01:12:52</t>
  </si>
  <si>
    <t>01:15:18</t>
  </si>
  <si>
    <t>10:55:09</t>
  </si>
  <si>
    <t>02:28:52</t>
  </si>
  <si>
    <t>04:01:24</t>
  </si>
  <si>
    <t>07:14:15</t>
  </si>
  <si>
    <t>08:38:14</t>
  </si>
  <si>
    <t>08:55:00</t>
  </si>
  <si>
    <t>08:56:59</t>
  </si>
  <si>
    <t>09:14:20</t>
  </si>
  <si>
    <t>12:58:21</t>
  </si>
  <si>
    <t>13:45:36</t>
  </si>
  <si>
    <t>17:50:50</t>
  </si>
  <si>
    <t>18:58:33</t>
  </si>
  <si>
    <t>08:29:06</t>
  </si>
  <si>
    <t>14:05:12</t>
  </si>
  <si>
    <t>19:14:01</t>
  </si>
  <si>
    <t>20:46:53</t>
  </si>
  <si>
    <t>20:41:01</t>
  </si>
  <si>
    <t>21:09:46</t>
  </si>
  <si>
    <t>21:38:14</t>
  </si>
  <si>
    <t>15:50:54</t>
  </si>
  <si>
    <t>00:15:11</t>
  </si>
  <si>
    <t>11:18:23</t>
  </si>
  <si>
    <t>15:33:53</t>
  </si>
  <si>
    <t>19:15:37</t>
  </si>
  <si>
    <t>22:04:40</t>
  </si>
  <si>
    <t>22:46:29</t>
  </si>
  <si>
    <t>22:47:48</t>
  </si>
  <si>
    <t>18:23:50</t>
  </si>
  <si>
    <t>21:18:38</t>
  </si>
  <si>
    <t>21:19:13</t>
  </si>
  <si>
    <t>21:41:19</t>
  </si>
  <si>
    <t>21:42:39</t>
  </si>
  <si>
    <t>21:59:59</t>
  </si>
  <si>
    <t>07:28:54</t>
  </si>
  <si>
    <t>03:41:48</t>
  </si>
  <si>
    <t>08:55:36</t>
  </si>
  <si>
    <t>23:39:06</t>
  </si>
  <si>
    <t>00:15:23</t>
  </si>
  <si>
    <t>06:53:41</t>
  </si>
  <si>
    <t>01:57:43</t>
  </si>
  <si>
    <t>02:47:10</t>
  </si>
  <si>
    <t>03:25:40</t>
  </si>
  <si>
    <t>22:13:18</t>
  </si>
  <si>
    <t>02:27:07</t>
  </si>
  <si>
    <t>08:48:30</t>
  </si>
  <si>
    <t>13:03:38</t>
  </si>
  <si>
    <t>07:03:36</t>
  </si>
  <si>
    <t>08:54:09</t>
  </si>
  <si>
    <t>11:46:02</t>
  </si>
  <si>
    <t>11:10:15</t>
  </si>
  <si>
    <t>12:38:17</t>
  </si>
  <si>
    <t>12:37:33</t>
  </si>
  <si>
    <t>12:45:26</t>
  </si>
  <si>
    <t>15:05:09</t>
  </si>
  <si>
    <t>16:13:21</t>
  </si>
  <si>
    <t>18:47:43</t>
  </si>
  <si>
    <t>15:59:15</t>
  </si>
  <si>
    <t>16:36:49</t>
  </si>
  <si>
    <t>17:02:33</t>
  </si>
  <si>
    <t>18:25:51</t>
  </si>
  <si>
    <t>17:46:45</t>
  </si>
  <si>
    <t>20:07:22</t>
  </si>
  <si>
    <t>21:35:17</t>
  </si>
  <si>
    <t>12:21:12</t>
  </si>
  <si>
    <t>22:04:43</t>
  </si>
  <si>
    <t>22:41:25</t>
  </si>
  <si>
    <t>23:08:01</t>
  </si>
  <si>
    <t>23:13:10</t>
  </si>
  <si>
    <t>22:36:32</t>
  </si>
  <si>
    <t>23:15:24</t>
  </si>
  <si>
    <t>15:34:47</t>
  </si>
  <si>
    <t>16:07:51</t>
  </si>
  <si>
    <t>01:25:07</t>
  </si>
  <si>
    <t>08:02:59</t>
  </si>
  <si>
    <t>08:10:23</t>
  </si>
  <si>
    <t>00:04:24</t>
  </si>
  <si>
    <t>23:23:30</t>
  </si>
  <si>
    <t>00:04:30</t>
  </si>
  <si>
    <t>08:29:27</t>
  </si>
  <si>
    <t>15:20:41</t>
  </si>
  <si>
    <t>14:25:43</t>
  </si>
  <si>
    <t>03:07:59</t>
  </si>
  <si>
    <t>01:05:20</t>
  </si>
  <si>
    <t>02:04:12</t>
  </si>
  <si>
    <t>01:53:02</t>
  </si>
  <si>
    <t>02:19:38</t>
  </si>
  <si>
    <t>02:39:37</t>
  </si>
  <si>
    <t>23:37:03</t>
  </si>
  <si>
    <t>23:43:25</t>
  </si>
  <si>
    <t>03:47:41</t>
  </si>
  <si>
    <t>02:42:19</t>
  </si>
  <si>
    <t>00:15:13</t>
  </si>
  <si>
    <t>02:49:12</t>
  </si>
  <si>
    <t>03:12:45</t>
  </si>
  <si>
    <t>23:33:26</t>
  </si>
  <si>
    <t>04:39:02</t>
  </si>
  <si>
    <t>05:20:51</t>
  </si>
  <si>
    <t>05:24:47</t>
  </si>
  <si>
    <t>05:44:57</t>
  </si>
  <si>
    <t>06:21:51</t>
  </si>
  <si>
    <t>07:22:01</t>
  </si>
  <si>
    <t>08:17:53</t>
  </si>
  <si>
    <t>21:24:31</t>
  </si>
  <si>
    <t>20:40:00</t>
  </si>
  <si>
    <t>22:15:51</t>
  </si>
  <si>
    <t>12:13:55</t>
  </si>
  <si>
    <t>12:14:02</t>
  </si>
  <si>
    <t>09:04:44</t>
  </si>
  <si>
    <t>09:04:48</t>
  </si>
  <si>
    <t>11:03:37</t>
  </si>
  <si>
    <t>08:47:23</t>
  </si>
  <si>
    <t>07:32:49</t>
  </si>
  <si>
    <t>07:38:36</t>
  </si>
  <si>
    <t>15:56:29</t>
  </si>
  <si>
    <t>21:41:12</t>
  </si>
  <si>
    <t>13:09:16</t>
  </si>
  <si>
    <t>03:07:18</t>
  </si>
  <si>
    <t>23:31:30</t>
  </si>
  <si>
    <t>07:57:33</t>
  </si>
  <si>
    <t>07:58:43</t>
  </si>
  <si>
    <t>04:19:19</t>
  </si>
  <si>
    <t>07:59:36</t>
  </si>
  <si>
    <t>04:33:09</t>
  </si>
  <si>
    <t>08:44:41</t>
  </si>
  <si>
    <t>12:12:10</t>
  </si>
  <si>
    <t>05:45:56</t>
  </si>
  <si>
    <t>08:08:19</t>
  </si>
  <si>
    <t>09:55:00</t>
  </si>
  <si>
    <t>10:29:41</t>
  </si>
  <si>
    <t>10:36:10</t>
  </si>
  <si>
    <t>10:44:51</t>
  </si>
  <si>
    <t>11:08:07</t>
  </si>
  <si>
    <t>11:18:35</t>
  </si>
  <si>
    <t>12:02:16</t>
  </si>
  <si>
    <t>13:59:29</t>
  </si>
  <si>
    <t>14:00:40</t>
  </si>
  <si>
    <t>14:07:33</t>
  </si>
  <si>
    <t>14:14:29</t>
  </si>
  <si>
    <t>14:25:00</t>
  </si>
  <si>
    <t>14:26:53</t>
  </si>
  <si>
    <t>14:38:40</t>
  </si>
  <si>
    <t>14:39:48</t>
  </si>
  <si>
    <t>14:59:40</t>
  </si>
  <si>
    <t>15:35:45</t>
  </si>
  <si>
    <t>15:42:54</t>
  </si>
  <si>
    <t>16:05:27</t>
  </si>
  <si>
    <t>16:34:38</t>
  </si>
  <si>
    <t>16:46:27</t>
  </si>
  <si>
    <t>16:52:00</t>
  </si>
  <si>
    <t>16:53:04</t>
  </si>
  <si>
    <t>17:47:46</t>
  </si>
  <si>
    <t>17:49:00</t>
  </si>
  <si>
    <t>17:49:24</t>
  </si>
  <si>
    <t>17:51:54</t>
  </si>
  <si>
    <t>18:33:35</t>
  </si>
  <si>
    <t>18:33:56</t>
  </si>
  <si>
    <t>18:35:26</t>
  </si>
  <si>
    <t>18:37:20</t>
  </si>
  <si>
    <t>18:38:17</t>
  </si>
  <si>
    <t>18:43:07</t>
  </si>
  <si>
    <t>18:48:01</t>
  </si>
  <si>
    <t>19:18:41</t>
  </si>
  <si>
    <t>20:30:03</t>
  </si>
  <si>
    <t>09:30:29</t>
  </si>
  <si>
    <t>07:30:22</t>
  </si>
  <si>
    <t>20:30:07</t>
  </si>
  <si>
    <t>21:30:31</t>
  </si>
  <si>
    <t>10:30:28</t>
  </si>
  <si>
    <t>07:30:21</t>
  </si>
  <si>
    <t>19:30:26</t>
  </si>
  <si>
    <t>08:30:10</t>
  </si>
  <si>
    <t>07:30:14</t>
  </si>
  <si>
    <t>19:30:27</t>
  </si>
  <si>
    <t>08:30:17</t>
  </si>
  <si>
    <t>19:30:24</t>
  </si>
  <si>
    <t>19:43:01</t>
  </si>
  <si>
    <t>20:13:04</t>
  </si>
  <si>
    <t>20:35:22</t>
  </si>
  <si>
    <t>20:27:14</t>
  </si>
  <si>
    <t>20:50:55</t>
  </si>
  <si>
    <t>21:12:14</t>
  </si>
  <si>
    <t>08:42:54</t>
  </si>
  <si>
    <t>21:21:56</t>
  </si>
  <si>
    <t>04:04:00</t>
  </si>
  <si>
    <t>04:45:55</t>
  </si>
  <si>
    <t>22:01:12</t>
  </si>
  <si>
    <t>12:47:58</t>
  </si>
  <si>
    <t>04:50:20</t>
  </si>
  <si>
    <t>10:45:34</t>
  </si>
  <si>
    <t>10:44:00</t>
  </si>
  <si>
    <t>04:41:21</t>
  </si>
  <si>
    <t>06:09:41</t>
  </si>
  <si>
    <t>22:37:36</t>
  </si>
  <si>
    <t>21:31:42</t>
  </si>
  <si>
    <t>23:00:23</t>
  </si>
  <si>
    <t>08:35:59</t>
  </si>
  <si>
    <t>22:42:29</t>
  </si>
  <si>
    <t>09:03:57</t>
  </si>
  <si>
    <t>21:54:48</t>
  </si>
  <si>
    <t>08:41:45</t>
  </si>
  <si>
    <t>21:48:34</t>
  </si>
  <si>
    <t>14:05:09</t>
  </si>
  <si>
    <t>21:48:24</t>
  </si>
  <si>
    <t>08:42:27</t>
  </si>
  <si>
    <t>10:24:40</t>
  </si>
  <si>
    <t>21:43:30</t>
  </si>
  <si>
    <t>08:58:01</t>
  </si>
  <si>
    <t>21:58:51</t>
  </si>
  <si>
    <t>08:37:42</t>
  </si>
  <si>
    <t>08:42:08</t>
  </si>
  <si>
    <t>14:54:48</t>
  </si>
  <si>
    <t>07:14:06</t>
  </si>
  <si>
    <t>22:15:44</t>
  </si>
  <si>
    <t>21:51:23</t>
  </si>
  <si>
    <t>04:35:23</t>
  </si>
  <si>
    <t>14:15:38</t>
  </si>
  <si>
    <t>13:44:55</t>
  </si>
  <si>
    <t>22:28:58</t>
  </si>
  <si>
    <t>22:31:13</t>
  </si>
  <si>
    <t>22:36:33</t>
  </si>
  <si>
    <t>22:39:35</t>
  </si>
  <si>
    <t>22:46:18</t>
  </si>
  <si>
    <t>22:58:52</t>
  </si>
  <si>
    <t>23:13:44</t>
  </si>
  <si>
    <t>23:03:19</t>
  </si>
  <si>
    <t>23:17:45</t>
  </si>
  <si>
    <t>23:20:10</t>
  </si>
  <si>
    <t>23:40:33</t>
  </si>
  <si>
    <t>20:57:28</t>
  </si>
  <si>
    <t>23:46:06</t>
  </si>
  <si>
    <t>23:51:00</t>
  </si>
  <si>
    <t>23:52:26</t>
  </si>
  <si>
    <t>00:01:17</t>
  </si>
  <si>
    <t>00:11:14</t>
  </si>
  <si>
    <t>00:21:21</t>
  </si>
  <si>
    <t>00:22:10</t>
  </si>
  <si>
    <t>00:22:42</t>
  </si>
  <si>
    <t>00:27:00</t>
  </si>
  <si>
    <t>00:35:22</t>
  </si>
  <si>
    <t>00:43:31</t>
  </si>
  <si>
    <t>00:43:54</t>
  </si>
  <si>
    <t>22:49:13</t>
  </si>
  <si>
    <t>00:32:44</t>
  </si>
  <si>
    <t>00:44:57</t>
  </si>
  <si>
    <t>00:47:07</t>
  </si>
  <si>
    <t>05:29:36</t>
  </si>
  <si>
    <t>05:52:54</t>
  </si>
  <si>
    <t>07:14:05</t>
  </si>
  <si>
    <t>12:14:09</t>
  </si>
  <si>
    <t>12:17:29</t>
  </si>
  <si>
    <t>03:32:28</t>
  </si>
  <si>
    <t>23:04:58</t>
  </si>
  <si>
    <t>22:20:39</t>
  </si>
  <si>
    <t>04:01:16</t>
  </si>
  <si>
    <t>12:00:12</t>
  </si>
  <si>
    <t>16:33:29</t>
  </si>
  <si>
    <t>13:14:04</t>
  </si>
  <si>
    <t>11:35:36</t>
  </si>
  <si>
    <t>17:27:29</t>
  </si>
  <si>
    <t>12:15:19</t>
  </si>
  <si>
    <t>02:02:08</t>
  </si>
  <si>
    <t>04:46:49</t>
  </si>
  <si>
    <t>23:23:34</t>
  </si>
  <si>
    <t>03:25:45</t>
  </si>
  <si>
    <t>08:55:22</t>
  </si>
  <si>
    <t>15:24:45</t>
  </si>
  <si>
    <t>15:29:52</t>
  </si>
  <si>
    <t>00:49:07</t>
  </si>
  <si>
    <t>00:49:16</t>
  </si>
  <si>
    <t>23:32:53</t>
  </si>
  <si>
    <t>00:44:01</t>
  </si>
  <si>
    <t>00:44:08</t>
  </si>
  <si>
    <t>00:44:51</t>
  </si>
  <si>
    <t>00:44:26</t>
  </si>
  <si>
    <t>00:45:08</t>
  </si>
  <si>
    <t>00:45:59</t>
  </si>
  <si>
    <t>01:12:10</t>
  </si>
  <si>
    <t>00:46:36</t>
  </si>
  <si>
    <t>01:12:19</t>
  </si>
  <si>
    <t>01:15:19</t>
  </si>
  <si>
    <t>01:15:25</t>
  </si>
  <si>
    <t>01:12:13</t>
  </si>
  <si>
    <t>01:16:21</t>
  </si>
  <si>
    <t>01:19:59</t>
  </si>
  <si>
    <t>02:08:57</t>
  </si>
  <si>
    <t>02:09:00</t>
  </si>
  <si>
    <t>19:22:41</t>
  </si>
  <si>
    <t>02:24:48</t>
  </si>
  <si>
    <t>02:22:07</t>
  </si>
  <si>
    <t>02:35:24</t>
  </si>
  <si>
    <t>02:41:34</t>
  </si>
  <si>
    <t>02:43:12</t>
  </si>
  <si>
    <t>03:03:44</t>
  </si>
  <si>
    <t>03:39:30</t>
  </si>
  <si>
    <t>05:11:50</t>
  </si>
  <si>
    <t>23:40:46</t>
  </si>
  <si>
    <t>03:41:03</t>
  </si>
  <si>
    <t>04:38:37</t>
  </si>
  <si>
    <t>04:38:55</t>
  </si>
  <si>
    <t>05:41:25</t>
  </si>
  <si>
    <t>04:41:24</t>
  </si>
  <si>
    <t>05:07:19</t>
  </si>
  <si>
    <t>00:45:20</t>
  </si>
  <si>
    <t>01:12:07</t>
  </si>
  <si>
    <t>01:13:20</t>
  </si>
  <si>
    <t>05:26:49</t>
  </si>
  <si>
    <t>22:48:06</t>
  </si>
  <si>
    <t>22:48:16</t>
  </si>
  <si>
    <t>00:23:22</t>
  </si>
  <si>
    <t>00:23:38</t>
  </si>
  <si>
    <t>00:24:19</t>
  </si>
  <si>
    <t>00:39:20</t>
  </si>
  <si>
    <t>00:41:50</t>
  </si>
  <si>
    <t>00:42:37</t>
  </si>
  <si>
    <t>00:43:18</t>
  </si>
  <si>
    <t>00:43:22</t>
  </si>
  <si>
    <t>15:52:24</t>
  </si>
  <si>
    <t>1279085795996024834</t>
  </si>
  <si>
    <t>1279099711643717635</t>
  </si>
  <si>
    <t>1279214888435380226</t>
  </si>
  <si>
    <t>1279227767167438848</t>
  </si>
  <si>
    <t>1279386971144478720</t>
  </si>
  <si>
    <t>1279389772801118208</t>
  </si>
  <si>
    <t>1279447232010424322</t>
  </si>
  <si>
    <t>1279477759492775936</t>
  </si>
  <si>
    <t>1279579534543613952</t>
  </si>
  <si>
    <t>1279603616265859073</t>
  </si>
  <si>
    <t>1279613657828098049</t>
  </si>
  <si>
    <t>1279445080655486976</t>
  </si>
  <si>
    <t>1279619833160585216</t>
  </si>
  <si>
    <t>1279639347101405184</t>
  </si>
  <si>
    <t>1279640350378864641</t>
  </si>
  <si>
    <t>1279663434162778114</t>
  </si>
  <si>
    <t>1279695783588007936</t>
  </si>
  <si>
    <t>1279713945964535808</t>
  </si>
  <si>
    <t>1279715890628608000</t>
  </si>
  <si>
    <t>1279739950603223040</t>
  </si>
  <si>
    <t>1279761509611008006</t>
  </si>
  <si>
    <t>1279761681418051584</t>
  </si>
  <si>
    <t>1279770170601295873</t>
  </si>
  <si>
    <t>1279806624165552129</t>
  </si>
  <si>
    <t>1279824445411123201</t>
  </si>
  <si>
    <t>1279819776714555393</t>
  </si>
  <si>
    <t>1279834341514842118</t>
  </si>
  <si>
    <t>1279929030607876097</t>
  </si>
  <si>
    <t>1279964185917485059</t>
  </si>
  <si>
    <t>1280097925197160449</t>
  </si>
  <si>
    <t>1280101496089128960</t>
  </si>
  <si>
    <t>1279485139802746880</t>
  </si>
  <si>
    <t>1279685237987930112</t>
  </si>
  <si>
    <t>1279793128480731141</t>
  </si>
  <si>
    <t>1279795999246934017</t>
  </si>
  <si>
    <t>1279798572871856128</t>
  </si>
  <si>
    <t>1279799480821280769</t>
  </si>
  <si>
    <t>1279799621632454658</t>
  </si>
  <si>
    <t>1280053128176340992</t>
  </si>
  <si>
    <t>1280170263431180288</t>
  </si>
  <si>
    <t>1280203892261863424</t>
  </si>
  <si>
    <t>1280214970060476416</t>
  </si>
  <si>
    <t>1280252872660156420</t>
  </si>
  <si>
    <t>1280270860352475136</t>
  </si>
  <si>
    <t>1280271264125456384</t>
  </si>
  <si>
    <t>1280282048511406080</t>
  </si>
  <si>
    <t>1280289146498514944</t>
  </si>
  <si>
    <t>1280295856034459653</t>
  </si>
  <si>
    <t>1273475467572654080</t>
  </si>
  <si>
    <t>1280311360870666240</t>
  </si>
  <si>
    <t>1280372844329791488</t>
  </si>
  <si>
    <t>1279685462643208193</t>
  </si>
  <si>
    <t>1280377958788509697</t>
  </si>
  <si>
    <t>1280424514778796032</t>
  </si>
  <si>
    <t>1279604582075654145</t>
  </si>
  <si>
    <t>1280433853002219520</t>
  </si>
  <si>
    <t>1279534658015727616</t>
  </si>
  <si>
    <t>1280475057211314176</t>
  </si>
  <si>
    <t>1280529138097553410</t>
  </si>
  <si>
    <t>1280396078446247937</t>
  </si>
  <si>
    <t>1280396017070989315</t>
  </si>
  <si>
    <t>1280336599063158790</t>
  </si>
  <si>
    <t>1280361139419992065</t>
  </si>
  <si>
    <t>1280584918469423105</t>
  </si>
  <si>
    <t>1280620785640460289</t>
  </si>
  <si>
    <t>1280662448022806528</t>
  </si>
  <si>
    <t>1280656057023389698</t>
  </si>
  <si>
    <t>1280682968365756416</t>
  </si>
  <si>
    <t>1280684260324790272</t>
  </si>
  <si>
    <t>1280684529116745730</t>
  </si>
  <si>
    <t>1280684767969714176</t>
  </si>
  <si>
    <t>1280691228204576768</t>
  </si>
  <si>
    <t>1280694087486779392</t>
  </si>
  <si>
    <t>1280696734725914625</t>
  </si>
  <si>
    <t>1280699680817426432</t>
  </si>
  <si>
    <t>1280747865619550209</t>
  </si>
  <si>
    <t>1280744725142736896</t>
  </si>
  <si>
    <t>1280754734228480001</t>
  </si>
  <si>
    <t>1280772612168155136</t>
  </si>
  <si>
    <t>1280684050424967170</t>
  </si>
  <si>
    <t>1280684376313954304</t>
  </si>
  <si>
    <t>1280773659834155011</t>
  </si>
  <si>
    <t>1279573521186713601</t>
  </si>
  <si>
    <t>1279575888271560704</t>
  </si>
  <si>
    <t>1280797078843568128</t>
  </si>
  <si>
    <t>1280799034752434176</t>
  </si>
  <si>
    <t>1280803750471319559</t>
  </si>
  <si>
    <t>1280812456902787072</t>
  </si>
  <si>
    <t>1280819017154875393</t>
  </si>
  <si>
    <t>1280824720074530816</t>
  </si>
  <si>
    <t>1280829976338554880</t>
  </si>
  <si>
    <t>1280867328578646016</t>
  </si>
  <si>
    <t>1280130191877160960</t>
  </si>
  <si>
    <t>1280868172728426496</t>
  </si>
  <si>
    <t>1280892451767701504</t>
  </si>
  <si>
    <t>1280902391961923587</t>
  </si>
  <si>
    <t>1280964847195222016</t>
  </si>
  <si>
    <t>1280977501380988928</t>
  </si>
  <si>
    <t>1279243282518732800</t>
  </si>
  <si>
    <t>1280996976549457921</t>
  </si>
  <si>
    <t>1281033544123334656</t>
  </si>
  <si>
    <t>1281034159150915585</t>
  </si>
  <si>
    <t>1280817695928184832</t>
  </si>
  <si>
    <t>1281052672997462016</t>
  </si>
  <si>
    <t>1281075956862513152</t>
  </si>
  <si>
    <t>1281124489565069312</t>
  </si>
  <si>
    <t>1281145628203126784</t>
  </si>
  <si>
    <t>1281149844820639745</t>
  </si>
  <si>
    <t>1281150345721319424</t>
  </si>
  <si>
    <t>1281154711672860672</t>
  </si>
  <si>
    <t>1281211087526887425</t>
  </si>
  <si>
    <t>1281222977619668992</t>
  </si>
  <si>
    <t>1281284694462664705</t>
  </si>
  <si>
    <t>1281301732392423424</t>
  </si>
  <si>
    <t>1279331387783274496</t>
  </si>
  <si>
    <t>1279778359640068102</t>
  </si>
  <si>
    <t>1281305625700384768</t>
  </si>
  <si>
    <t>1281328998174330883</t>
  </si>
  <si>
    <t>1280240358836895745</t>
  </si>
  <si>
    <t>1281334755204763648</t>
  </si>
  <si>
    <t>1279529981886869504</t>
  </si>
  <si>
    <t>1279804960033476609</t>
  </si>
  <si>
    <t>1280294254049288192</t>
  </si>
  <si>
    <t>1280823539696717824</t>
  </si>
  <si>
    <t>1280887840209920000</t>
  </si>
  <si>
    <t>1280943641591078912</t>
  </si>
  <si>
    <t>1280986183426686976</t>
  </si>
  <si>
    <t>1280996706952212480</t>
  </si>
  <si>
    <t>1280997040181280768</t>
  </si>
  <si>
    <t>1281292996390998016</t>
  </si>
  <si>
    <t>1281336988218519552</t>
  </si>
  <si>
    <t>1281337135342075908</t>
  </si>
  <si>
    <t>1281342695605059584</t>
  </si>
  <si>
    <t>1281343031363305472</t>
  </si>
  <si>
    <t>1281347392634097664</t>
  </si>
  <si>
    <t>1279316237353451521</t>
  </si>
  <si>
    <t>1279983863188635649</t>
  </si>
  <si>
    <t>1280425221514842112</t>
  </si>
  <si>
    <t>1281009949150261248</t>
  </si>
  <si>
    <t>1281381466111451137</t>
  </si>
  <si>
    <t>1281119315513630721</t>
  </si>
  <si>
    <t>1281407222627463168</t>
  </si>
  <si>
    <t>1281419664195596288</t>
  </si>
  <si>
    <t>1275993535448182784</t>
  </si>
  <si>
    <t>1279538805993701376</t>
  </si>
  <si>
    <t>1279602681909112832</t>
  </si>
  <si>
    <t>1279698658028425216</t>
  </si>
  <si>
    <t>1280850028219658240</t>
  </si>
  <si>
    <t>1281484197442449408</t>
  </si>
  <si>
    <t>1281512019061927938</t>
  </si>
  <si>
    <t>1280105725507719168</t>
  </si>
  <si>
    <t>1281546271308705792</t>
  </si>
  <si>
    <t>1281568425979129857</t>
  </si>
  <si>
    <t>1281568239735263232</t>
  </si>
  <si>
    <t>1281570223699656705</t>
  </si>
  <si>
    <t>1281605386345369601</t>
  </si>
  <si>
    <t>1281622550083244033</t>
  </si>
  <si>
    <t>1279487069241225216</t>
  </si>
  <si>
    <t>1281256613215518720</t>
  </si>
  <si>
    <t>1281628455029768192</t>
  </si>
  <si>
    <t>1281634930905276416</t>
  </si>
  <si>
    <t>1281655892098912257</t>
  </si>
  <si>
    <t>1281646053650030592</t>
  </si>
  <si>
    <t>1281681438434263048</t>
  </si>
  <si>
    <t>1281703563987767298</t>
  </si>
  <si>
    <t>1281201739408896001</t>
  </si>
  <si>
    <t>1281710971925323776</t>
  </si>
  <si>
    <t>1281720209133441024</t>
  </si>
  <si>
    <t>1281726903691468801</t>
  </si>
  <si>
    <t>1281728198456164352</t>
  </si>
  <si>
    <t>1281718979090939905</t>
  </si>
  <si>
    <t>1281728760769908736</t>
  </si>
  <si>
    <t>1281250455830446080</t>
  </si>
  <si>
    <t>1281258776541016064</t>
  </si>
  <si>
    <t>1279587076598452224</t>
  </si>
  <si>
    <t>1281136756012675077</t>
  </si>
  <si>
    <t>1281138618375958528</t>
  </si>
  <si>
    <t>1281741090081525760</t>
  </si>
  <si>
    <t>1281730797435678720</t>
  </si>
  <si>
    <t>1281741116090380288</t>
  </si>
  <si>
    <t>1279693865688031234</t>
  </si>
  <si>
    <t>1280522130384318464</t>
  </si>
  <si>
    <t>1280870684365697026</t>
  </si>
  <si>
    <t>1281062517481984000</t>
  </si>
  <si>
    <t>1280669262005194752</t>
  </si>
  <si>
    <t>1281046464202829824</t>
  </si>
  <si>
    <t>1281768431528755201</t>
  </si>
  <si>
    <t>1281775126241923072</t>
  </si>
  <si>
    <t>1281780151374639105</t>
  </si>
  <si>
    <t>1280284655518748672</t>
  </si>
  <si>
    <t>1280286260481802241</t>
  </si>
  <si>
    <t>1280347733207867393</t>
  </si>
  <si>
    <t>1281780833083248640</t>
  </si>
  <si>
    <t>1281743815355686914</t>
  </si>
  <si>
    <t>1281782566551339008</t>
  </si>
  <si>
    <t>1281788490137526272</t>
  </si>
  <si>
    <t>1281733296729124864</t>
  </si>
  <si>
    <t>1281810204330307585</t>
  </si>
  <si>
    <t>1281820728073969664</t>
  </si>
  <si>
    <t>1281821718403624960</t>
  </si>
  <si>
    <t>1281826795252219905</t>
  </si>
  <si>
    <t>1281836078761213952</t>
  </si>
  <si>
    <t>1281851221696012289</t>
  </si>
  <si>
    <t>1279328566497300480</t>
  </si>
  <si>
    <t>1279526528695468032</t>
  </si>
  <si>
    <t>1279877711570145283</t>
  </si>
  <si>
    <t>1280264221192712192</t>
  </si>
  <si>
    <t>1280475127302377472</t>
  </si>
  <si>
    <t>1280475159577587713</t>
  </si>
  <si>
    <t>1280789906445316097</t>
  </si>
  <si>
    <t>1280789923977555968</t>
  </si>
  <si>
    <t>1280819826777194497</t>
  </si>
  <si>
    <t>1281510316187082752</t>
  </si>
  <si>
    <t>1281853940540125184</t>
  </si>
  <si>
    <t>1281855393614794753</t>
  </si>
  <si>
    <t>1279443976202776576</t>
  </si>
  <si>
    <t>1279893115059318784</t>
  </si>
  <si>
    <t>1280489057580015616</t>
  </si>
  <si>
    <t>1281424733787938816</t>
  </si>
  <si>
    <t>1281732813499166720</t>
  </si>
  <si>
    <t>1281860163423498241</t>
  </si>
  <si>
    <t>1281860455590326272</t>
  </si>
  <si>
    <t>1279268526788755456</t>
  </si>
  <si>
    <t>1281860677766746113</t>
  </si>
  <si>
    <t>1281808725620125698</t>
  </si>
  <si>
    <t>1281872023241646080</t>
  </si>
  <si>
    <t>1279387524360626177</t>
  </si>
  <si>
    <t>1279652715178496000</t>
  </si>
  <si>
    <t>1281138097275539456</t>
  </si>
  <si>
    <t>1281889723019976704</t>
  </si>
  <si>
    <t>1281898447650660358</t>
  </si>
  <si>
    <t>1281900080623161344</t>
  </si>
  <si>
    <t>1281902264198799360</t>
  </si>
  <si>
    <t>1281908119673745410</t>
  </si>
  <si>
    <t>1281910756825587712</t>
  </si>
  <si>
    <t>1281921746799677441</t>
  </si>
  <si>
    <t>1281951246690037760</t>
  </si>
  <si>
    <t>1281951547123879936</t>
  </si>
  <si>
    <t>1281953277160984577</t>
  </si>
  <si>
    <t>1281955023652442113</t>
  </si>
  <si>
    <t>1281957667192344576</t>
  </si>
  <si>
    <t>1281958144634167301</t>
  </si>
  <si>
    <t>1281961110070079489</t>
  </si>
  <si>
    <t>1281961391537025029</t>
  </si>
  <si>
    <t>1281966392317599750</t>
  </si>
  <si>
    <t>1281975472579125251</t>
  </si>
  <si>
    <t>1281977271113453568</t>
  </si>
  <si>
    <t>1281982946174357504</t>
  </si>
  <si>
    <t>1281990292246269952</t>
  </si>
  <si>
    <t>1281993265219280901</t>
  </si>
  <si>
    <t>1281994660530061312</t>
  </si>
  <si>
    <t>1281994931960070144</t>
  </si>
  <si>
    <t>1282008696218963970</t>
  </si>
  <si>
    <t>1282009006244913152</t>
  </si>
  <si>
    <t>1282009105713049601</t>
  </si>
  <si>
    <t>1282009737177907200</t>
  </si>
  <si>
    <t>1282020227161575424</t>
  </si>
  <si>
    <t>1282020316357820416</t>
  </si>
  <si>
    <t>1282020693559971842</t>
  </si>
  <si>
    <t>1282021171966414848</t>
  </si>
  <si>
    <t>1282021408030302210</t>
  </si>
  <si>
    <t>1282022626630615040</t>
  </si>
  <si>
    <t>1282023858460151810</t>
  </si>
  <si>
    <t>1282031574905769987</t>
  </si>
  <si>
    <t>1279150431567036419</t>
  </si>
  <si>
    <t>1279346837019856896</t>
  </si>
  <si>
    <t>1279678995311755264</t>
  </si>
  <si>
    <t>1279875224465371136</t>
  </si>
  <si>
    <t>1279890427802464256</t>
  </si>
  <si>
    <t>1280086708508377088</t>
  </si>
  <si>
    <t>1280403769201700865</t>
  </si>
  <si>
    <t>1280584983497842688</t>
  </si>
  <si>
    <t>1280781206813097985</t>
  </si>
  <si>
    <t>1281128512481628160</t>
  </si>
  <si>
    <t>1281309760852299781</t>
  </si>
  <si>
    <t>1281506014966231040</t>
  </si>
  <si>
    <t>1281853287436824576</t>
  </si>
  <si>
    <t>1281868369965150209</t>
  </si>
  <si>
    <t>1282034523459457027</t>
  </si>
  <si>
    <t>1282037698564288513</t>
  </si>
  <si>
    <t>1282045264476491776</t>
  </si>
  <si>
    <t>1282050876559912960</t>
  </si>
  <si>
    <t>1280961664431644674</t>
  </si>
  <si>
    <t>1282054786674765826</t>
  </si>
  <si>
    <t>1282060153546842112</t>
  </si>
  <si>
    <t>1281509189181833216</t>
  </si>
  <si>
    <t>1282062591473287168</t>
  </si>
  <si>
    <t>1279264671950766080</t>
  </si>
  <si>
    <t>1279275222718279682</t>
  </si>
  <si>
    <t>1279535759129624576</t>
  </si>
  <si>
    <t>1281208474257375232</t>
  </si>
  <si>
    <t>1279276333084729344</t>
  </si>
  <si>
    <t>1279728119356592128</t>
  </si>
  <si>
    <t>1280452502438031360</t>
  </si>
  <si>
    <t>1281086013264162817</t>
  </si>
  <si>
    <t>1281470630026567688</t>
  </si>
  <si>
    <t>1281719248121782272</t>
  </si>
  <si>
    <t>1282065049935208448</t>
  </si>
  <si>
    <t>1279188266516992005</t>
  </si>
  <si>
    <t>1279333121662414848</t>
  </si>
  <si>
    <t>1279546147795681280</t>
  </si>
  <si>
    <t>1279702548329279489</t>
  </si>
  <si>
    <t>1279896536340508673</t>
  </si>
  <si>
    <t>1280059347238744066</t>
  </si>
  <si>
    <t>1280257358686375936</t>
  </si>
  <si>
    <t>1280503119902900228</t>
  </si>
  <si>
    <t>1280619702448865281</t>
  </si>
  <si>
    <t>1280784300833562624</t>
  </si>
  <si>
    <t>1280810024827146241</t>
  </si>
  <si>
    <t>1280980858892021760</t>
  </si>
  <si>
    <t>1281150603956117504</t>
  </si>
  <si>
    <t>1281347107236900866</t>
  </si>
  <si>
    <t>1281507879904632832</t>
  </si>
  <si>
    <t>1281508997070086145</t>
  </si>
  <si>
    <t>1281602779480338433</t>
  </si>
  <si>
    <t>1281849228101251072</t>
  </si>
  <si>
    <t>1282076130741121025</t>
  </si>
  <si>
    <t>1279533289447940096</t>
  </si>
  <si>
    <t>1279634959196581888</t>
  </si>
  <si>
    <t>1279780984016138241</t>
  </si>
  <si>
    <t>1280135643335516160</t>
  </si>
  <si>
    <t>1282079464415879168</t>
  </si>
  <si>
    <t>1282080027362955265</t>
  </si>
  <si>
    <t>1282081369577779200</t>
  </si>
  <si>
    <t>1282082136456077318</t>
  </si>
  <si>
    <t>1282083823996600329</t>
  </si>
  <si>
    <t>1282086987227451396</t>
  </si>
  <si>
    <t>1282090728525627393</t>
  </si>
  <si>
    <t>1282088105529368577</t>
  </si>
  <si>
    <t>1282091739835031552</t>
  </si>
  <si>
    <t>1282092346348376064</t>
  </si>
  <si>
    <t>1282097476678320129</t>
  </si>
  <si>
    <t>1282056436915113984</t>
  </si>
  <si>
    <t>1282098875998760960</t>
  </si>
  <si>
    <t>1282100107123531778</t>
  </si>
  <si>
    <t>1282100468672598017</t>
  </si>
  <si>
    <t>1282102694958649345</t>
  </si>
  <si>
    <t>1282105199448985604</t>
  </si>
  <si>
    <t>1282107744921587712</t>
  </si>
  <si>
    <t>1282107950232788992</t>
  </si>
  <si>
    <t>1282108085159342080</t>
  </si>
  <si>
    <t>1282109168590020608</t>
  </si>
  <si>
    <t>1282111274428411904</t>
  </si>
  <si>
    <t>1282113322293354496</t>
  </si>
  <si>
    <t>1282113420813361153</t>
  </si>
  <si>
    <t>1282084558394056704</t>
  </si>
  <si>
    <t>1282110611757957128</t>
  </si>
  <si>
    <t>1282113685801111552</t>
  </si>
  <si>
    <t>1282114228896378883</t>
  </si>
  <si>
    <t>1279286214751739905</t>
  </si>
  <si>
    <t>1279292080209055744</t>
  </si>
  <si>
    <t>1279312509049032704</t>
  </si>
  <si>
    <t>1279750413760163840</t>
  </si>
  <si>
    <t>1279751250595049472</t>
  </si>
  <si>
    <t>1279619127850659840</t>
  </si>
  <si>
    <t>1279914194431643648</t>
  </si>
  <si>
    <t>1281352595148206080</t>
  </si>
  <si>
    <t>1279988761749630976</t>
  </si>
  <si>
    <t>1280109287340077059</t>
  </si>
  <si>
    <t>1280178062370324489</t>
  </si>
  <si>
    <t>1280490266525265920</t>
  </si>
  <si>
    <t>1281552648764710915</t>
  </si>
  <si>
    <t>1282003590815420416</t>
  </si>
  <si>
    <t>1280113093293400066</t>
  </si>
  <si>
    <t>1281045943115149312</t>
  </si>
  <si>
    <t>1281087389125849088</t>
  </si>
  <si>
    <t>1279194102525984775</t>
  </si>
  <si>
    <t>1279617436505878528</t>
  </si>
  <si>
    <t>1279700386824065024</t>
  </si>
  <si>
    <t>1281610317605122048</t>
  </si>
  <si>
    <t>1281611606728667138</t>
  </si>
  <si>
    <t>1282114733005393921</t>
  </si>
  <si>
    <t>1282114771526004739</t>
  </si>
  <si>
    <t>1282095546384084992</t>
  </si>
  <si>
    <t>1282113449225449472</t>
  </si>
  <si>
    <t>1282113479793508352</t>
  </si>
  <si>
    <t>1282113660702404610</t>
  </si>
  <si>
    <t>1282113554699579392</t>
  </si>
  <si>
    <t>1282113729895645184</t>
  </si>
  <si>
    <t>1282113943310266368</t>
  </si>
  <si>
    <t>1282120533140664320</t>
  </si>
  <si>
    <t>1282114097559920640</t>
  </si>
  <si>
    <t>1282120570499301376</t>
  </si>
  <si>
    <t>1282121327709523968</t>
  </si>
  <si>
    <t>1282121352275787776</t>
  </si>
  <si>
    <t>1282113990810693632</t>
  </si>
  <si>
    <t>1282120546465935360</t>
  </si>
  <si>
    <t>1282121587727069185</t>
  </si>
  <si>
    <t>1282122501837946880</t>
  </si>
  <si>
    <t>1282134824770310144</t>
  </si>
  <si>
    <t>1282134837969788928</t>
  </si>
  <si>
    <t>1281670193903742977</t>
  </si>
  <si>
    <t>1282138811544350720</t>
  </si>
  <si>
    <t>1282138138870243329</t>
  </si>
  <si>
    <t>1282141479914348551</t>
  </si>
  <si>
    <t>1282143029831270400</t>
  </si>
  <si>
    <t>1282143442278199296</t>
  </si>
  <si>
    <t>1282148610927259649</t>
  </si>
  <si>
    <t>1282157612755062784</t>
  </si>
  <si>
    <t>1281818457911287809</t>
  </si>
  <si>
    <t>1282097531187458048</t>
  </si>
  <si>
    <t>1282158002787713026</t>
  </si>
  <si>
    <t>1282172487606960128</t>
  </si>
  <si>
    <t>1282172565167976448</t>
  </si>
  <si>
    <t>1280013964391440384</t>
  </si>
  <si>
    <t>1281101127887577088</t>
  </si>
  <si>
    <t>1282173188743593984</t>
  </si>
  <si>
    <t>1282179709846126592</t>
  </si>
  <si>
    <t>1282113781452075009</t>
  </si>
  <si>
    <t>1282120521446916096</t>
  </si>
  <si>
    <t>1282120825076932608</t>
  </si>
  <si>
    <t>1282184617630605312</t>
  </si>
  <si>
    <t>1282084278528954368</t>
  </si>
  <si>
    <t>1282084318680997889</t>
  </si>
  <si>
    <t>1282108253808164866</t>
  </si>
  <si>
    <t>1282108318014517248</t>
  </si>
  <si>
    <t>1282108491449036800</t>
  </si>
  <si>
    <t>1282112269074104320</t>
  </si>
  <si>
    <t>1282112901394776064</t>
  </si>
  <si>
    <t>1282113095117074432</t>
  </si>
  <si>
    <t>1282113268929060865</t>
  </si>
  <si>
    <t>1282113287790882817</t>
  </si>
  <si>
    <t>1279080561533833216</t>
  </si>
  <si>
    <t>1279273471604715521</t>
  </si>
  <si>
    <t>1276111285365600256</t>
  </si>
  <si>
    <t>1280393714586746880</t>
  </si>
  <si>
    <t>1280502607476334598</t>
  </si>
  <si>
    <t>1279575576718610435</t>
  </si>
  <si>
    <t>1280748209648762882</t>
  </si>
  <si>
    <t>1280802316866564096</t>
  </si>
  <si>
    <t>1281034157762605058</t>
  </si>
  <si>
    <t>1281566612961800192</t>
  </si>
  <si>
    <t>1281688395878731777</t>
  </si>
  <si>
    <t>1278973003024396288</t>
  </si>
  <si>
    <t>1279587619513368576</t>
  </si>
  <si>
    <t>1282087399816925184</t>
  </si>
  <si>
    <t>1281731260285628416</t>
  </si>
  <si>
    <t>1281993760159739907</t>
  </si>
  <si>
    <t>1282050727259639808</t>
  </si>
  <si>
    <t>1281936143563595776</t>
  </si>
  <si>
    <t>1282113295357550595</t>
  </si>
  <si>
    <t>1282090686419017739</t>
  </si>
  <si>
    <t>1282037235869786113</t>
  </si>
  <si>
    <t/>
  </si>
  <si>
    <t>1092445739190374401</t>
  </si>
  <si>
    <t>767387280205946881</t>
  </si>
  <si>
    <t>12371162</t>
  </si>
  <si>
    <t>769126994470514688</t>
  </si>
  <si>
    <t>899725779629748224</t>
  </si>
  <si>
    <t>241666173</t>
  </si>
  <si>
    <t>1522172689</t>
  </si>
  <si>
    <t>796518997856428032</t>
  </si>
  <si>
    <t>179094450</t>
  </si>
  <si>
    <t>1232899003907375104</t>
  </si>
  <si>
    <t>65353609</t>
  </si>
  <si>
    <t>849344094681870336</t>
  </si>
  <si>
    <t>1098209113924808704</t>
  </si>
  <si>
    <t>1142516496653934592</t>
  </si>
  <si>
    <t>3372823323</t>
  </si>
  <si>
    <t>1088621856045772800</t>
  </si>
  <si>
    <t>275276082</t>
  </si>
  <si>
    <t>1118965948692799489</t>
  </si>
  <si>
    <t>2390240286</t>
  </si>
  <si>
    <t>703649400</t>
  </si>
  <si>
    <t>1853047993</t>
  </si>
  <si>
    <t>2654356639</t>
  </si>
  <si>
    <t>1142234435863162882</t>
  </si>
  <si>
    <t>1012369215167303681</t>
  </si>
  <si>
    <t>pt</t>
  </si>
  <si>
    <t>ja</t>
  </si>
  <si>
    <t>en</t>
  </si>
  <si>
    <t>de</t>
  </si>
  <si>
    <t>und</t>
  </si>
  <si>
    <t>es</t>
  </si>
  <si>
    <t>it</t>
  </si>
  <si>
    <t>fr</t>
  </si>
  <si>
    <t>1279078457222275072</t>
  </si>
  <si>
    <t>1279280679914582016</t>
  </si>
  <si>
    <t>1279645646136328193</t>
  </si>
  <si>
    <t>1281525031000928256</t>
  </si>
  <si>
    <t>1279582011779239936</t>
  </si>
  <si>
    <t>1281449791055032320</t>
  </si>
  <si>
    <t>Twitter for iPhone</t>
  </si>
  <si>
    <t>Twitter for Android</t>
  </si>
  <si>
    <t>SapphireTwit</t>
  </si>
  <si>
    <t>Twitter Web App</t>
  </si>
  <si>
    <t>Barn Finds Auto Post</t>
  </si>
  <si>
    <t>Twitter for iPad</t>
  </si>
  <si>
    <t>TweetDeck</t>
  </si>
  <si>
    <t>SmallStreamersConnectRT</t>
  </si>
  <si>
    <t>Instagram</t>
  </si>
  <si>
    <t>Twittimer</t>
  </si>
  <si>
    <t>Bot Libre!</t>
  </si>
  <si>
    <t>Metalitalia.com via NS</t>
  </si>
  <si>
    <t>Janetter iOS</t>
  </si>
  <si>
    <t>Hel2um on iOS</t>
  </si>
  <si>
    <t>EnlTodayJapan_Post</t>
  </si>
  <si>
    <t>Zoho Social</t>
  </si>
  <si>
    <t>RoArtistry</t>
  </si>
  <si>
    <t>AMT_To_Twitt_Listings</t>
  </si>
  <si>
    <t>twitcle plus</t>
  </si>
  <si>
    <t>Twitlonger</t>
  </si>
  <si>
    <t>IFTTT</t>
  </si>
  <si>
    <t>139.543097000973,35.5079560026456 
139.616102000592,35.5079560026456 
139.616102000592,35.5667530045683 
139.543097000973,35.5667530045683</t>
  </si>
  <si>
    <t>-43.1648112,-22.98297 
-42.954408,-22.98297 
-42.954408,-22.8261279 
-43.1648112,-22.8261279</t>
  </si>
  <si>
    <t>139.554970995756,35.3605670018556 
139.609608000835,35.3605670018556 
139.609608000835,35.4190949993387 
139.554970995756,35.4190949993387</t>
  </si>
  <si>
    <t>4.3139889,50.7963282 
4.4369472,50.7963282 
4.4369472,50.9137064 
4.3139889,50.9137064</t>
  </si>
  <si>
    <t>130.727709,32.750254 
130.829025,32.750254 
130.829025,32.8548 
130.727709,32.8548</t>
  </si>
  <si>
    <t>Japan</t>
  </si>
  <si>
    <t>Brazil</t>
  </si>
  <si>
    <t>Belgium</t>
  </si>
  <si>
    <t>JP</t>
  </si>
  <si>
    <t>BR</t>
  </si>
  <si>
    <t>BE</t>
  </si>
  <si>
    <t>Yokohama-shi Tsuzuki-ku, Kanagawa</t>
  </si>
  <si>
    <t>Niterói, Brasil</t>
  </si>
  <si>
    <t>Yokohama-shi Konan-ku, Kanagawa</t>
  </si>
  <si>
    <t>Brussels, Belgium</t>
  </si>
  <si>
    <t>Kumamoto-shi, Kumamoto</t>
  </si>
  <si>
    <t>1ea0fd1a31366833</t>
  </si>
  <si>
    <t>59373f0a295160e4</t>
  </si>
  <si>
    <t>2dca688458c4fd18</t>
  </si>
  <si>
    <t>0653bb913c88c1ea</t>
  </si>
  <si>
    <t>bad1ca88f10feb9b</t>
  </si>
  <si>
    <t>Yokohama City Tsuzuki Ward</t>
  </si>
  <si>
    <t>Niterói</t>
  </si>
  <si>
    <t>Yokohama City Konan Ward</t>
  </si>
  <si>
    <t>Brussels</t>
  </si>
  <si>
    <t>Kumamoto-shi</t>
  </si>
  <si>
    <t>city</t>
  </si>
  <si>
    <t>Name</t>
  </si>
  <si>
    <t>User ID</t>
  </si>
  <si>
    <t>Followed</t>
  </si>
  <si>
    <t>Followers</t>
  </si>
  <si>
    <t>Tweets</t>
  </si>
  <si>
    <t>Favorites</t>
  </si>
  <si>
    <t>Time Zone UTC Offset (Seconds)</t>
  </si>
  <si>
    <t>Description</t>
  </si>
  <si>
    <t>Location</t>
  </si>
  <si>
    <t>Web</t>
  </si>
  <si>
    <t>Time Zone</t>
  </si>
  <si>
    <t>Joined Twitter Date (UTC)</t>
  </si>
  <si>
    <t>Profile Banner Url</t>
  </si>
  <si>
    <t>Default Profile</t>
  </si>
  <si>
    <t>Default Profile Image</t>
  </si>
  <si>
    <t>Geo Enabled</t>
  </si>
  <si>
    <t>Listed Count</t>
  </si>
  <si>
    <t>Profile Background Image Url</t>
  </si>
  <si>
    <t>Verified</t>
  </si>
  <si>
    <t>Custom Menu Item Text</t>
  </si>
  <si>
    <t>Custom Menu Item Action</t>
  </si>
  <si>
    <t>Tweeted Search Term?</t>
  </si>
  <si>
    <t>Pérolas do Wayfarer</t>
  </si>
  <si>
    <t>itty☆💙💛</t>
  </si>
  <si>
    <t>Nyaoooo</t>
  </si>
  <si>
    <t>りくち🔥🦎</t>
  </si>
  <si>
    <t>e神楽</t>
  </si>
  <si>
    <t>*はる☆すかい*</t>
  </si>
  <si>
    <t>Earl Harris</t>
  </si>
  <si>
    <t>Barn Finds</t>
  </si>
  <si>
    <t>Tere Negus</t>
  </si>
  <si>
    <t>MTGG</t>
  </si>
  <si>
    <t>らぷっこ</t>
  </si>
  <si>
    <t>Harry Tran</t>
  </si>
  <si>
    <t>Bob Dionne</t>
  </si>
  <si>
    <t>Boris Gonschorek</t>
  </si>
  <si>
    <t>おてつ</t>
  </si>
  <si>
    <t>めりハム</t>
  </si>
  <si>
    <t>nebapuri(purrinmaru)</t>
  </si>
  <si>
    <t>Gustavo Ramirez</t>
  </si>
  <si>
    <t>Niantic, Inc.</t>
  </si>
  <si>
    <t>Niantic Support</t>
  </si>
  <si>
    <t>フンコロ</t>
  </si>
  <si>
    <t>青葉(あおば)@ポケGOとDQ WALK</t>
  </si>
  <si>
    <t>たなかよしおβ</t>
  </si>
  <si>
    <t>紅 隼人(kestrelman)</t>
  </si>
  <si>
    <t>れおん@青A13R2</t>
  </si>
  <si>
    <t>sinXsan</t>
  </si>
  <si>
    <t>La Niña Feliz</t>
  </si>
  <si>
    <t>Lipe Matheus</t>
  </si>
  <si>
    <t>xRaZoRx2</t>
  </si>
  <si>
    <t>#SmallStreamersConnect</t>
  </si>
  <si>
    <t>#SmallStreamersConnect RT</t>
  </si>
  <si>
    <t>House of Lunettes</t>
  </si>
  <si>
    <t>OLUWAFIMIDARAIRE✌🌹</t>
  </si>
  <si>
    <t>kyona</t>
  </si>
  <si>
    <t>Juan C. Salazar®</t>
  </si>
  <si>
    <t>Brandulinks</t>
  </si>
  <si>
    <t>Squadhelp</t>
  </si>
  <si>
    <t>yooousan ポケモンGO /h + JP</t>
  </si>
  <si>
    <t>Marcus Vinícius cm U</t>
  </si>
  <si>
    <t>Menz Watchez</t>
  </si>
  <si>
    <t>鉄路野狐 (イベントなくて虚無)</t>
  </si>
  <si>
    <t>MAGI❄️</t>
  </si>
  <si>
    <t>TMC Promotion Network</t>
  </si>
  <si>
    <t>LyndiLane</t>
  </si>
  <si>
    <t>🦋Marilou858🦋󠁧󠁢󠁥󠁮󠁧󠁿</t>
  </si>
  <si>
    <t>hiroshi</t>
  </si>
  <si>
    <t>RayRayドーム</t>
  </si>
  <si>
    <t>Jesús</t>
  </si>
  <si>
    <t>mii*.'_'.*🐝🧡</t>
  </si>
  <si>
    <t>katops</t>
  </si>
  <si>
    <t>Dominic Hull</t>
  </si>
  <si>
    <t>NorthRoadCycles</t>
  </si>
  <si>
    <t>Chatwins Bakery</t>
  </si>
  <si>
    <t>Pete Swift</t>
  </si>
  <si>
    <t>Llangollen TIC</t>
  </si>
  <si>
    <t>tucentrooptico.es</t>
  </si>
  <si>
    <t>トゥトゥマドゥ・ナウ</t>
  </si>
  <si>
    <t>to1027me(Hamamatsu, Enlightened, Vanguard)</t>
  </si>
  <si>
    <t>GreenWoodFight</t>
  </si>
  <si>
    <t>ABSOLutelyMT</t>
  </si>
  <si>
    <t>Lured Up Podcast and the Pokémon Professor Network</t>
  </si>
  <si>
    <t>PeloPoGO</t>
  </si>
  <si>
    <t>G2gMedia</t>
  </si>
  <si>
    <t>pac</t>
  </si>
  <si>
    <t>LEGENDS</t>
  </si>
  <si>
    <t>🌊🔥⚡️Pokemon Go Sin Barreras🌊🔥⚡️</t>
  </si>
  <si>
    <t>ArhyxzGlhexLhoz</t>
  </si>
  <si>
    <t>Jeffrey Barnett</t>
  </si>
  <si>
    <t>常盤いるむ</t>
  </si>
  <si>
    <t>roby juventino⚫⚪</t>
  </si>
  <si>
    <t>Metalitalia.com</t>
  </si>
  <si>
    <t>Riccardo Venti</t>
  </si>
  <si>
    <t>Daifukuや@ぽけゴー</t>
  </si>
  <si>
    <t>╰( º□º )╯か╭( º∀º)╮め╰( º∀º )╯ろ╭( º_º)╮ん</t>
  </si>
  <si>
    <t>プチやわらか</t>
  </si>
  <si>
    <t>本物のKatsu@審査員駆け出し、今年の目標後26♪</t>
  </si>
  <si>
    <t>＠きよし(Akiyoshi)/JS1CPW</t>
  </si>
  <si>
    <t>NICOLAS Patrice</t>
  </si>
  <si>
    <t>Enlightened Today Japan</t>
  </si>
  <si>
    <t>yasu-box</t>
  </si>
  <si>
    <t>yugioh-hack</t>
  </si>
  <si>
    <t>りくまる</t>
  </si>
  <si>
    <t>fumi pokemon</t>
  </si>
  <si>
    <t>Transwest Trk Trl RV</t>
  </si>
  <si>
    <t>Chris Spinks</t>
  </si>
  <si>
    <t>Atlas Brewing Company</t>
  </si>
  <si>
    <t>Flavourly.com</t>
  </si>
  <si>
    <t>すけ</t>
  </si>
  <si>
    <t>Gen</t>
  </si>
  <si>
    <t>TaJuRiNa@Wayfarer&amp;OSM勢</t>
  </si>
  <si>
    <t>lSSenterprise.bot</t>
  </si>
  <si>
    <t>めんべい</t>
  </si>
  <si>
    <t>RuinDig</t>
  </si>
  <si>
    <t>ペンギンおやぢ</t>
  </si>
  <si>
    <t>ララバイ@wayfarer審査員</t>
  </si>
  <si>
    <t>BLOC Eyewear</t>
  </si>
  <si>
    <t>Sho@位置ゲー</t>
  </si>
  <si>
    <t>Re:Artistron</t>
  </si>
  <si>
    <t>An Unknown Kraftsman</t>
  </si>
  <si>
    <t>マイリキー👊🏽TL40x15🥳</t>
  </si>
  <si>
    <t>Ｋーる＠ポケモン老人会</t>
  </si>
  <si>
    <t>TADKeys</t>
  </si>
  <si>
    <t>Nadine</t>
  </si>
  <si>
    <t>LobeznoX45</t>
  </si>
  <si>
    <t>rao0529</t>
  </si>
  <si>
    <t>mino</t>
  </si>
  <si>
    <t>初心者審査員🔰</t>
  </si>
  <si>
    <t>テラ7998@wayfarerハマり中</t>
  </si>
  <si>
    <t>#BeekeepersHour</t>
  </si>
  <si>
    <t>Flourish at Ford Way</t>
  </si>
  <si>
    <t>ぎるを@ポケモンGO垢・多摩&amp;新宿 TEAM MYSTIC</t>
  </si>
  <si>
    <t>まっぷ</t>
  </si>
  <si>
    <t>Esquire*Attire</t>
  </si>
  <si>
    <t>🅡🅤🅤</t>
  </si>
  <si>
    <t>クロワッさん</t>
  </si>
  <si>
    <t>Dope Weaver</t>
  </si>
  <si>
    <t>Matthew_Shepherd</t>
  </si>
  <si>
    <t>team®︎ゆりっぺポケモンGO</t>
  </si>
  <si>
    <t>白鴉</t>
  </si>
  <si>
    <t>ThankGodnUSA</t>
  </si>
  <si>
    <t>Wayfair.com</t>
  </si>
  <si>
    <t>Victoria Brownworth #MasksSaveLives</t>
  </si>
  <si>
    <t>Cole Stewart</t>
  </si>
  <si>
    <t>T4T2FR34K</t>
  </si>
  <si>
    <t>Amber Westcott-Baker PhD</t>
  </si>
  <si>
    <t>Posi4hope</t>
  </si>
  <si>
    <t>Michael M. Thornberg</t>
  </si>
  <si>
    <t>Hal Hübener</t>
  </si>
  <si>
    <t>Jean-Luc Picachu</t>
  </si>
  <si>
    <t>Diaz Ed</t>
  </si>
  <si>
    <t>ARTxFM</t>
  </si>
  <si>
    <t>hunchbackofnotredame</t>
  </si>
  <si>
    <t>john whitney</t>
  </si>
  <si>
    <t>Sandrucci54</t>
  </si>
  <si>
    <t>YURUKI24FRANK@TL38 青</t>
  </si>
  <si>
    <t>Sam Covfefe ⭐️⭐️⭐️🇺🇸</t>
  </si>
  <si>
    <t>The Cyrus Report</t>
  </si>
  <si>
    <t>⚔️TrumpWarrior Dee (TextTrump #88022)</t>
  </si>
  <si>
    <t>BlueEyezzzzVera @Aslatonm on Parler</t>
  </si>
  <si>
    <t>Septmber Rose</t>
  </si>
  <si>
    <t>キネ🎮CM＞＜。</t>
  </si>
  <si>
    <t>MameOjaru</t>
  </si>
  <si>
    <t>ぱち@福島犬</t>
  </si>
  <si>
    <t>かつやくきん。ハーン</t>
  </si>
  <si>
    <t>HI-HO@3taFe</t>
  </si>
  <si>
    <t>RadiusBIT</t>
  </si>
  <si>
    <t>tp235</t>
  </si>
  <si>
    <t>10R</t>
  </si>
  <si>
    <t>はいぺり</t>
  </si>
  <si>
    <t>UltimaSnorlax</t>
  </si>
  <si>
    <t>アキア</t>
  </si>
  <si>
    <t>ラキ（Laki*LILA*）</t>
  </si>
  <si>
    <t>YO828</t>
  </si>
  <si>
    <t>NianticJP</t>
  </si>
  <si>
    <t>@NianticHelpJP</t>
  </si>
  <si>
    <t>MAGA’er 💥💥💥</t>
  </si>
  <si>
    <t>Superhero Everson</t>
  </si>
  <si>
    <t>Huqhanon</t>
  </si>
  <si>
    <t>Armend Qaushi</t>
  </si>
  <si>
    <t>#InternetBillOfRights❌ #wwg1wga #wehaveitall⭐⭐⭐</t>
  </si>
  <si>
    <t>Anthony Spradman🌟🌟🌟</t>
  </si>
  <si>
    <t>MagicalThorn</t>
  </si>
  <si>
    <t>🌟ブルー🌈BlueLight🌈✨🏔️キュレム🏔️✨🌟</t>
  </si>
  <si>
    <t>sin @ふくしまちほーフレンズ</t>
  </si>
  <si>
    <t>あぴ＊ishi＊@ポケモンgo 札幌</t>
  </si>
  <si>
    <t>Satominポケストップ増やし隊</t>
  </si>
  <si>
    <t>DDD～どんなときも、どんな場所でも、どうにでもなる〜</t>
  </si>
  <si>
    <t>Mike Q💘sentme</t>
  </si>
  <si>
    <t>StarseedOfOrion</t>
  </si>
  <si>
    <t>Leah Christine #Q #2A #WWG1WGA #KAG2020 #COVFEFE</t>
  </si>
  <si>
    <t>Daniel Jendiroba</t>
  </si>
  <si>
    <t>The Catering Equipment Guy</t>
  </si>
  <si>
    <t>Ray-Ban</t>
  </si>
  <si>
    <t>Sunglass Hut SA</t>
  </si>
  <si>
    <t>Charles “Chuck” Finley</t>
  </si>
  <si>
    <t>赤チーム@ポケGO岩手</t>
  </si>
  <si>
    <t>Frankhoncho</t>
  </si>
  <si>
    <t>月影@ぷよクエ</t>
  </si>
  <si>
    <t>みもざ</t>
  </si>
  <si>
    <t>Renee</t>
  </si>
  <si>
    <t>Alison Carr</t>
  </si>
  <si>
    <t>lisa</t>
  </si>
  <si>
    <t>Meta</t>
  </si>
  <si>
    <t>Judy Keating</t>
  </si>
  <si>
    <t>Liz</t>
  </si>
  <si>
    <t>Terese Piccola</t>
  </si>
  <si>
    <t>LisaMarie Chokola</t>
  </si>
  <si>
    <t>Rusty🐸Anon</t>
  </si>
  <si>
    <t>humberto barbaro</t>
  </si>
  <si>
    <t>Ian Bursill | Weddings Captured Emotively</t>
  </si>
  <si>
    <t>みほっぴぃ🍑PokeGO</t>
  </si>
  <si>
    <t>Connor</t>
  </si>
  <si>
    <t>Erik Hendrickson</t>
  </si>
  <si>
    <t>katie gallagher</t>
  </si>
  <si>
    <t>@SIX</t>
  </si>
  <si>
    <t>peach priestess</t>
  </si>
  <si>
    <t>Minette</t>
  </si>
  <si>
    <t>Dj Waffles</t>
  </si>
  <si>
    <t>Ⓥ NAP Paul Ⓐ</t>
  </si>
  <si>
    <t>Stan Norred</t>
  </si>
  <si>
    <t>Ghengis Khan ❌</t>
  </si>
  <si>
    <t>Liberty  Balance</t>
  </si>
  <si>
    <t>IamTlamelo..., 🇧🇼 🇿🇦</t>
  </si>
  <si>
    <t>Lily Flores</t>
  </si>
  <si>
    <t>🇸🇴 Dixie on Anarchy 🇸🇴</t>
  </si>
  <si>
    <t>The Adorable Deplorable</t>
  </si>
  <si>
    <t>⚔️ WarTeamBravo ♥️🤍💙</t>
  </si>
  <si>
    <t>HurryWakeUpNow ⭐️⭐️⭐️🗽🇺🇸🐸</t>
  </si>
  <si>
    <t>Candace 🇺🇸♥️🦅🌊🌴🌤</t>
  </si>
  <si>
    <t>The School Of Revelation</t>
  </si>
  <si>
    <t>سیره صالحان</t>
  </si>
  <si>
    <t>Represent LTD.™</t>
  </si>
  <si>
    <t>momo99momo</t>
  </si>
  <si>
    <t>Mike Murphy</t>
  </si>
  <si>
    <t>ShineBright</t>
  </si>
  <si>
    <t>trudyelliott 🐸 🇮🇹🇺🇸🇬🇧🇦🇺🇧🇷</t>
  </si>
  <si>
    <t>Jeffery Straker</t>
  </si>
  <si>
    <t>Hilda Johansson</t>
  </si>
  <si>
    <t>Vivien 🤍</t>
  </si>
  <si>
    <t>かにを</t>
  </si>
  <si>
    <t>Hemlock</t>
  </si>
  <si>
    <t>Matty D Garriott</t>
  </si>
  <si>
    <t>Big Ru InvictaFC is #1</t>
  </si>
  <si>
    <t>Patsy Williams</t>
  </si>
  <si>
    <t>HydraGen❄️</t>
  </si>
  <si>
    <t>Joy Thompson</t>
  </si>
  <si>
    <t>Valarie Gee</t>
  </si>
  <si>
    <t>Mariana Coldwell</t>
  </si>
  <si>
    <t>Brett Coldwell</t>
  </si>
  <si>
    <t>Kwok Kwun</t>
  </si>
  <si>
    <t>Jaded Logic</t>
  </si>
  <si>
    <t>AMotherinAmerica #NATIONALIST #infantisideisMurder</t>
  </si>
  <si>
    <t>Dry Queefs for Biden</t>
  </si>
  <si>
    <t>𝕲𝖍𝖊𝖙𝖙𝖔 𝕷𝖎𝖔𝖓 𝕻𝖆𝖙𝖗𝖎𝖔𝖙</t>
  </si>
  <si>
    <t>MiloB</t>
  </si>
  <si>
    <t>Wide Awake 🇺🇸🇨🇭🇩🇪 QArmy Swiss Division</t>
  </si>
  <si>
    <t>Bman 🇺🇸 ⭐️⭐️⭐️</t>
  </si>
  <si>
    <t>海月ちい⚡️クラチー</t>
  </si>
  <si>
    <t>ポリ</t>
  </si>
  <si>
    <t>TeamⓂ️No31Roassotakasan</t>
  </si>
  <si>
    <t>ueonoakiwayama</t>
  </si>
  <si>
    <t>Roxy Spencer Dont Be A Cutie Pie 🐇Cult45</t>
  </si>
  <si>
    <t>🇺🇸MarieAnne🇺🇸</t>
  </si>
  <si>
    <t>Thomas Paine</t>
  </si>
  <si>
    <t>s00nergirl♥️</t>
  </si>
  <si>
    <t>Donald J. Trump 🇺🇸 com...</t>
  </si>
  <si>
    <t>RisingPhoenix⭐️⭐️⭐️</t>
  </si>
  <si>
    <t>YankeeCowboy727</t>
  </si>
  <si>
    <t>🇺🇸🔥Patriotic Americans 4 Trump🔥🇺🇸</t>
  </si>
  <si>
    <t>janedoe</t>
  </si>
  <si>
    <t>Mark “Deboosted” Safarik 🇺🇸❤️🇮🇱</t>
  </si>
  <si>
    <t>Danny Edmonds</t>
  </si>
  <si>
    <t>Fly by wire</t>
  </si>
  <si>
    <t>FBI</t>
  </si>
  <si>
    <t>Joe Biden is FULL OF DEMENTIA!</t>
  </si>
  <si>
    <t>😷🚫EPSTEIN'S SHEET🧻Aka SHOW MORE REPLIES ❌</t>
  </si>
  <si>
    <t>JC</t>
  </si>
  <si>
    <t>David Lopez</t>
  </si>
  <si>
    <t>biracial.conservative</t>
  </si>
  <si>
    <t>ItGoesAnonAnon</t>
  </si>
  <si>
    <t>Doug Dimmadome</t>
  </si>
  <si>
    <t>mike spec</t>
  </si>
  <si>
    <t>AngelOfLoveLight</t>
  </si>
  <si>
    <t>おみぞう👅@PGO-ingress</t>
  </si>
  <si>
    <t>petty brewster</t>
  </si>
  <si>
    <t>ℋᎾℕᎾℛ</t>
  </si>
  <si>
    <t>Lookstore</t>
  </si>
  <si>
    <t>Joanofarc62Q+++</t>
  </si>
  <si>
    <t>Mitt Romney</t>
  </si>
  <si>
    <t>FED UP Qult 45 Deplorable 🐸TRUMP 2Q2Q🐸🌟🌟🌟</t>
  </si>
  <si>
    <t>🇺🇸MaryMauldin🇺🇸</t>
  </si>
  <si>
    <t>Karli Q ⭐️⭐️⭐️</t>
  </si>
  <si>
    <t>Abraham Wooster</t>
  </si>
  <si>
    <t>神雲誠</t>
  </si>
  <si>
    <t>976427304980279296</t>
  </si>
  <si>
    <t>133063060</t>
  </si>
  <si>
    <t>754465704988905473</t>
  </si>
  <si>
    <t>1186955363288961025</t>
  </si>
  <si>
    <t>2840686022</t>
  </si>
  <si>
    <t>736140441595285504</t>
  </si>
  <si>
    <t>322851412</t>
  </si>
  <si>
    <t>280128839</t>
  </si>
  <si>
    <t>258008766</t>
  </si>
  <si>
    <t>1034358829176123393</t>
  </si>
  <si>
    <t>1265697723447013378</t>
  </si>
  <si>
    <t>716702566059548679</t>
  </si>
  <si>
    <t>580083983</t>
  </si>
  <si>
    <t>3257631085</t>
  </si>
  <si>
    <t>939414614290284546</t>
  </si>
  <si>
    <t>545372450</t>
  </si>
  <si>
    <t>1281061477</t>
  </si>
  <si>
    <t>631577690</t>
  </si>
  <si>
    <t>1088806580169039872</t>
  </si>
  <si>
    <t>835864612801163264</t>
  </si>
  <si>
    <t>208005358</t>
  </si>
  <si>
    <t>1073943540927844352</t>
  </si>
  <si>
    <t>1097394329235054592</t>
  </si>
  <si>
    <t>3353527907</t>
  </si>
  <si>
    <t>88979782</t>
  </si>
  <si>
    <t>3231942654</t>
  </si>
  <si>
    <t>1020094666685919233</t>
  </si>
  <si>
    <t>1117168138192179202</t>
  </si>
  <si>
    <t>2832247324</t>
  </si>
  <si>
    <t>1185572967192911873</t>
  </si>
  <si>
    <t>302613855</t>
  </si>
  <si>
    <t>771049287232794624</t>
  </si>
  <si>
    <t>117236393</t>
  </si>
  <si>
    <t>1134965476327546881</t>
  </si>
  <si>
    <t>27434294</t>
  </si>
  <si>
    <t>988068608868728832</t>
  </si>
  <si>
    <t>188376652</t>
  </si>
  <si>
    <t>2267557250</t>
  </si>
  <si>
    <t>3388074669</t>
  </si>
  <si>
    <t>239555374</t>
  </si>
  <si>
    <t>1895843192</t>
  </si>
  <si>
    <t>2843469230</t>
  </si>
  <si>
    <t>841337749172965376</t>
  </si>
  <si>
    <t>1253630162828214272</t>
  </si>
  <si>
    <t>139107388</t>
  </si>
  <si>
    <t>27880227</t>
  </si>
  <si>
    <t>1205951824659918848</t>
  </si>
  <si>
    <t>525680250</t>
  </si>
  <si>
    <t>1331236987</t>
  </si>
  <si>
    <t>615000532</t>
  </si>
  <si>
    <t>710713122856706048</t>
  </si>
  <si>
    <t>3098011538</t>
  </si>
  <si>
    <t>1110314205054291968</t>
  </si>
  <si>
    <t>1024083269036503041</t>
  </si>
  <si>
    <t>2377101765</t>
  </si>
  <si>
    <t>1023216525136850946</t>
  </si>
  <si>
    <t>1142455346063126531</t>
  </si>
  <si>
    <t>1019314150651121664</t>
  </si>
  <si>
    <t>1024025263586172928</t>
  </si>
  <si>
    <t>1206985545026613248</t>
  </si>
  <si>
    <t>935877180</t>
  </si>
  <si>
    <t>3243312959</t>
  </si>
  <si>
    <t>26239808</t>
  </si>
  <si>
    <t>3092863649</t>
  </si>
  <si>
    <t>25049283</t>
  </si>
  <si>
    <t>1268193494927056897</t>
  </si>
  <si>
    <t>1222324864419131392</t>
  </si>
  <si>
    <t>1430592608</t>
  </si>
  <si>
    <t>294040416</t>
  </si>
  <si>
    <t>1143520428079534080</t>
  </si>
  <si>
    <t>985892936997994496</t>
  </si>
  <si>
    <t>104067136</t>
  </si>
  <si>
    <t>1028256316903444480</t>
  </si>
  <si>
    <t>1265671626739216384</t>
  </si>
  <si>
    <t>745084826</t>
  </si>
  <si>
    <t>1056164794661650433</t>
  </si>
  <si>
    <t>358347361</t>
  </si>
  <si>
    <t>2600508428</t>
  </si>
  <si>
    <t>1044523190251384838</t>
  </si>
  <si>
    <t>807847382</t>
  </si>
  <si>
    <t>4910266375</t>
  </si>
  <si>
    <t>447143206</t>
  </si>
  <si>
    <t>941488681734496256</t>
  </si>
  <si>
    <t>1149157070177886208</t>
  </si>
  <si>
    <t>3660009032</t>
  </si>
  <si>
    <t>456488819</t>
  </si>
  <si>
    <t>1583173230</t>
  </si>
  <si>
    <t>1415390977</t>
  </si>
  <si>
    <t>978960704286814208</t>
  </si>
  <si>
    <t>1231107173784129536</t>
  </si>
  <si>
    <t>2563726591</t>
  </si>
  <si>
    <t>769878110355402752</t>
  </si>
  <si>
    <t>181567520</t>
  </si>
  <si>
    <t>1123505711789400066</t>
  </si>
  <si>
    <t>558330148</t>
  </si>
  <si>
    <t>2716409536</t>
  </si>
  <si>
    <t>1005967026311987200</t>
  </si>
  <si>
    <t>882953422651105280</t>
  </si>
  <si>
    <t>1227083729547354112</t>
  </si>
  <si>
    <t>1089894878362853376</t>
  </si>
  <si>
    <t>1145696674389647360</t>
  </si>
  <si>
    <t>742348080448704512</t>
  </si>
  <si>
    <t>1113474931369472000</t>
  </si>
  <si>
    <t>462672766</t>
  </si>
  <si>
    <t>845635302</t>
  </si>
  <si>
    <t>978782380973436933</t>
  </si>
  <si>
    <t>966889618745405440</t>
  </si>
  <si>
    <t>4720310292</t>
  </si>
  <si>
    <t>1125780684591775746</t>
  </si>
  <si>
    <t>920521743567065089</t>
  </si>
  <si>
    <t>1009804828170641409</t>
  </si>
  <si>
    <t>926760236404285440</t>
  </si>
  <si>
    <t>16101626</t>
  </si>
  <si>
    <t>138168339</t>
  </si>
  <si>
    <t>280218413</t>
  </si>
  <si>
    <t>271458650</t>
  </si>
  <si>
    <t>2368261492</t>
  </si>
  <si>
    <t>257731625</t>
  </si>
  <si>
    <t>1266585012641685504</t>
  </si>
  <si>
    <t>15295723</t>
  </si>
  <si>
    <t>1242118703476547585</t>
  </si>
  <si>
    <t>735627110</t>
  </si>
  <si>
    <t>2287094119</t>
  </si>
  <si>
    <t>401815692</t>
  </si>
  <si>
    <t>1130535777958617088</t>
  </si>
  <si>
    <t>1057273117293203456</t>
  </si>
  <si>
    <t>399745111</t>
  </si>
  <si>
    <t>1256687382176370690</t>
  </si>
  <si>
    <t>37630113</t>
  </si>
  <si>
    <t>753993358306009088</t>
  </si>
  <si>
    <t>787665629172162560</t>
  </si>
  <si>
    <t>70072872</t>
  </si>
  <si>
    <t>1262592125285199872</t>
  </si>
  <si>
    <t>1223960366012461063</t>
  </si>
  <si>
    <t>965857261</t>
  </si>
  <si>
    <t>1180854874444951557</t>
  </si>
  <si>
    <t>996362576924573696</t>
  </si>
  <si>
    <t>64187526</t>
  </si>
  <si>
    <t>4831596658</t>
  </si>
  <si>
    <t>917246454044823552</t>
  </si>
  <si>
    <t>714428390632087552</t>
  </si>
  <si>
    <t>1281500924557422593</t>
  </si>
  <si>
    <t>1001583441303945216</t>
  </si>
  <si>
    <t>887625364830167040</t>
  </si>
  <si>
    <t>1024818992995753984</t>
  </si>
  <si>
    <t>1042689400725954562</t>
  </si>
  <si>
    <t>962005325304889344</t>
  </si>
  <si>
    <t>1069277938955149312</t>
  </si>
  <si>
    <t>959823012</t>
  </si>
  <si>
    <t>54300359</t>
  </si>
  <si>
    <t>1146974409405550592</t>
  </si>
  <si>
    <t>914364913614589952</t>
  </si>
  <si>
    <t>1057632138139381760</t>
  </si>
  <si>
    <t>429843189</t>
  </si>
  <si>
    <t>1207671028429787138</t>
  </si>
  <si>
    <t>792746114478772226</t>
  </si>
  <si>
    <t>3572264052</t>
  </si>
  <si>
    <t>976084695241945088</t>
  </si>
  <si>
    <t>1260566775630102532</t>
  </si>
  <si>
    <t>844620293985501184</t>
  </si>
  <si>
    <t>65098401</t>
  </si>
  <si>
    <t>1676214835</t>
  </si>
  <si>
    <t>234264720</t>
  </si>
  <si>
    <t>145588016</t>
  </si>
  <si>
    <t>1280619313242746882</t>
  </si>
  <si>
    <t>2700727766</t>
  </si>
  <si>
    <t>1242477542637842437</t>
  </si>
  <si>
    <t>2520635395</t>
  </si>
  <si>
    <t>1715951636</t>
  </si>
  <si>
    <t>2742240591</t>
  </si>
  <si>
    <t>43846702</t>
  </si>
  <si>
    <t>418711935</t>
  </si>
  <si>
    <t>776242420103024640</t>
  </si>
  <si>
    <t>2818692644</t>
  </si>
  <si>
    <t>771879697193897984</t>
  </si>
  <si>
    <t>973188221889929216</t>
  </si>
  <si>
    <t>1222509820919480320</t>
  </si>
  <si>
    <t>1241557970476883969</t>
  </si>
  <si>
    <t>121899642</t>
  </si>
  <si>
    <t>926361980704657408</t>
  </si>
  <si>
    <t>2604362737</t>
  </si>
  <si>
    <t>1250901324016816134</t>
  </si>
  <si>
    <t>1248366717803388928</t>
  </si>
  <si>
    <t>924389603032756225</t>
  </si>
  <si>
    <t>3285917179</t>
  </si>
  <si>
    <t>711972503967518720</t>
  </si>
  <si>
    <t>261896120</t>
  </si>
  <si>
    <t>198663647</t>
  </si>
  <si>
    <t>511686599</t>
  </si>
  <si>
    <t>2793459351</t>
  </si>
  <si>
    <t>3002457954</t>
  </si>
  <si>
    <t>214494307</t>
  </si>
  <si>
    <t>142792314</t>
  </si>
  <si>
    <t>314314444</t>
  </si>
  <si>
    <t>1173235275708948481</t>
  </si>
  <si>
    <t>1195757740901195777</t>
  </si>
  <si>
    <t>852665640208826368</t>
  </si>
  <si>
    <t>1261672027615891457</t>
  </si>
  <si>
    <t>23846946</t>
  </si>
  <si>
    <t>987702661561634818</t>
  </si>
  <si>
    <t>768882365070532610</t>
  </si>
  <si>
    <t>1100904807995490304</t>
  </si>
  <si>
    <t>3271040952</t>
  </si>
  <si>
    <t>160583487</t>
  </si>
  <si>
    <t>1096371833375354880</t>
  </si>
  <si>
    <t>1250428922472230912</t>
  </si>
  <si>
    <t>1094320817943437313</t>
  </si>
  <si>
    <t>3319079540</t>
  </si>
  <si>
    <t>28190312</t>
  </si>
  <si>
    <t>2425551401</t>
  </si>
  <si>
    <t>435952262</t>
  </si>
  <si>
    <t>86830580</t>
  </si>
  <si>
    <t>2807388896</t>
  </si>
  <si>
    <t>1078330537394294784</t>
  </si>
  <si>
    <t>544860616</t>
  </si>
  <si>
    <t>305883827</t>
  </si>
  <si>
    <t>981720788851220480</t>
  </si>
  <si>
    <t>218981783</t>
  </si>
  <si>
    <t>1270887882430054400</t>
  </si>
  <si>
    <t>1219992741091790848</t>
  </si>
  <si>
    <t>57092397</t>
  </si>
  <si>
    <t>1235229617339809792</t>
  </si>
  <si>
    <t>483670239</t>
  </si>
  <si>
    <t>988906524595531777</t>
  </si>
  <si>
    <t>248990711</t>
  </si>
  <si>
    <t>1273386333302591496</t>
  </si>
  <si>
    <t>18080954</t>
  </si>
  <si>
    <t>1232855490021003264</t>
  </si>
  <si>
    <t>702341203078070272</t>
  </si>
  <si>
    <t>1072551536071327744</t>
  </si>
  <si>
    <t>724136167218671616</t>
  </si>
  <si>
    <t>818840812704280577</t>
  </si>
  <si>
    <t>1010005216001867776</t>
  </si>
  <si>
    <t>2596458805</t>
  </si>
  <si>
    <t>1153936081726738434</t>
  </si>
  <si>
    <t>4086750921</t>
  </si>
  <si>
    <t>63852360</t>
  </si>
  <si>
    <t>759183757152780288</t>
  </si>
  <si>
    <t>1595125903</t>
  </si>
  <si>
    <t>2237125776</t>
  </si>
  <si>
    <t>1056388153</t>
  </si>
  <si>
    <t>17629860</t>
  </si>
  <si>
    <t>967494104966889472</t>
  </si>
  <si>
    <t>767127023663747072</t>
  </si>
  <si>
    <t>65560927</t>
  </si>
  <si>
    <t>1281686846813147140</t>
  </si>
  <si>
    <t>518814737</t>
  </si>
  <si>
    <t>1152044955029913600</t>
  </si>
  <si>
    <t>2569278996</t>
  </si>
  <si>
    <t>1272892371865346048</t>
  </si>
  <si>
    <t>140211427</t>
  </si>
  <si>
    <t>1104047053473267713</t>
  </si>
  <si>
    <t>1023393202030694400</t>
  </si>
  <si>
    <t>1224922450615422977</t>
  </si>
  <si>
    <t>972587059448868865</t>
  </si>
  <si>
    <t>50055701</t>
  </si>
  <si>
    <t>108450607</t>
  </si>
  <si>
    <t>1199522589573554176</t>
  </si>
  <si>
    <t>1248762358672941056</t>
  </si>
  <si>
    <t>2903628266</t>
  </si>
  <si>
    <t>Página destinada à publicar as mais bizarras pérolas de pedidos de wayspots tanto de Ingress quanto de PoGo.</t>
  </si>
  <si>
    <t>ピアノ/パーカッション/合唱/ YUKI/どさんこリニスタ/くまモン厨/道民なのにトリサポ/ポケモンマスターになりたい/AB型/左利き</t>
  </si>
  <si>
    <t>ゲーム業界で翻訳コーディネーターやっています。
ポケモンGO、Switchゲーム全般やります。生息地〜 我孫子・印西市と品川駅周辺。たまに秋葉原と渋谷。バトガ・金ジム勢。</t>
  </si>
  <si>
    <t>自由なヒトカゲ。音ゲー全般触る。メダルゲームもよくやる。PNRの「探検隊・ひとかげず！」所属　ポケゴTL40*2、IngressL10(2週目)【素敵なアイコンは @Sky_dream7712 からの頂き物です圧倒的感謝！】※ツイート数多いです。マジで注意</t>
  </si>
  <si>
    <t>Ingress 山岳部(どうやら青)/ポケモンgo TL40 赤/ポータル申請職人/Runner/チャリ/僻地/kagura99被害者の会 背景は御母衣ダムの一景。新しいマナー、モラルを思いついたボスは動物園の猿か池の鯉にでもお与えください。</t>
  </si>
  <si>
    <t>20↑ FGO/モンスト/ポケGO赤TL40/グラスマ/クラフィ/東方CB/ヒプマイARB 大好きやなぁと思う→ @demisu3 無言フォロー失礼しますm(*_ _)m</t>
  </si>
  <si>
    <t>I like American classic cars real and metal collectibles . Also Eagles And Philles fan.also into quads and motorcycles.Big fan of Jersey Pine Barron’s .</t>
  </si>
  <si>
    <t>Rescuing forgotten classics everyday.</t>
  </si>
  <si>
    <t>To see my fashion tweets click on #TheFriendlyFashionCritic .  I am also King Of The Buccaneers , Da Prez , A World Explorer , and I am a very grumpy guy .</t>
  </si>
  <si>
    <t>Greetings, my name is Michael T. Ganschow-Green. I'm a Graphic Designer/UX designer/accidental Web Developer living in Sparks, Nevada.</t>
  </si>
  <si>
    <t>ポケモンgo専用垢 ラプラス好き。 2018/11/15 ラプラス、2019/7/27 ミュウツー 47都道府県コンプ。2019/2/13 滋賀県、3/9神奈川県、3/14大阪府、3/18佐賀県、5/29石川県、9/4山口県、10/21宮城 、2020 1/17富山県2/23 山梨県全市町村コンプリート！</t>
  </si>
  <si>
    <t>Everything I like</t>
  </si>
  <si>
    <t>used classic car parts in the Kingston area (not a registered business)</t>
  </si>
  <si>
    <t>Guten Morgen! • Was bin ich froh, dass ich grade Kaffee habe ...</t>
  </si>
  <si>
    <t>インドネシア　釣り(GT アジング メッキ) バイク(VTR1000F ER-6n CRF150L) あんこ 猫(ブサカワ) オウム ポケモンGO 青TL40伝説レイド出来ない過疎地住み</t>
  </si>
  <si>
    <t>ポケモンGOまったりTL40。駆け出しWayfarer審査員。フォローとは無言でするもの。</t>
  </si>
  <si>
    <t>ARASHI・大相撲SUMO。和歌山の北の方でPokémon剣盾・PokémonGO・あつ森 などを夫婦でプレイ中。ポケGO 位置偽装さんとの交換NG。 私purrinmaru &amp;夫justicemaru 海外トレーナーさん、地域限定レイドに誘ってください😊DM待ってます✨</t>
  </si>
  <si>
    <t>En curso de tener Ing. antes de mi nombre :) #MetasClaras</t>
  </si>
  <si>
    <t>Developer/Publisher of @Ingress, @PokemonGOapp, &amp; @HPWizardsUnite. Encouraging people to explore the real world. 
Support: @NianticHelp  
JP: @NianticJP</t>
  </si>
  <si>
    <t>Official Niantic account for support-related news and info for @ingress, @pokemongoapp and @hpwizardsunite. For 1:1 support, submit a request in-app.</t>
  </si>
  <si>
    <t>こんばんは</t>
  </si>
  <si>
    <t>Pokémon GO(team mystic)、ドラゴンクエストウォーク、Wayfarerなどゲーム垢。時々県内外遠征しています。ポケモン交換は基本的には対面でお願いしています。2019.11.4に気分で名前変更しましたよ</t>
  </si>
  <si>
    <t>今まで気がむいたときしかつぶやいてなかったけど、最近になって吐き出したい欲に駆られて誰に聞かれるでもないような事を呟くようになってきました。インなんとかっていう陣地を取り合う感じのゲームもよくやってます。</t>
  </si>
  <si>
    <t>野鳥と飲むことが好きなしがないAG(ENL)。猛禽類の名前をつけているが、完全に名前負け。Ingressの内容が多いです。
ミッション、ポータル申請/審査(Warfarer)が好き。</t>
  </si>
  <si>
    <t>福井発。Ingress青AG13(3周目)＆DQウォーク(sg8dwe0u4fxo)やってます(^^) 基本自転車、まれに徒歩。土日と雨の日はおとなしいですｗ</t>
  </si>
  <si>
    <t>#呉元気Ingress #WLK @IngressKure ※ #旅するIngressスタンプ の貸出要請はこちらです。 貸出規約リンク：https://t.co/OE4LwMqH3V</t>
  </si>
  <si>
    <t>Some things about my day and more.  
Algumas coisas sobre o meu dia e mais. 
🇧🇷 Jogando Pokémon Go casualmente.
Team Instinct⚡</t>
  </si>
  <si>
    <t>Twitch Streamer | Affiliated with: @nerdordiecom | https://t.co/9rEcELELAn</t>
  </si>
  <si>
    <t>Growing is hard. We're trying to change that 🚀 Twitch https://t.co/T8kk2Zfwj2 FB https://t.co/Nhv8yZmOCQ RT @SmallStreamersR Creator @TechnoTimLive</t>
  </si>
  <si>
    <t>Tag ONLY us and follow for a retweet! @SmallStreamersC Twitch https://t.co/T8kk2Zfwj2 FB https://t.co/Nhv8yZmOCQ Creator @TechnoTimLive 🚀</t>
  </si>
  <si>
    <t>Nigeria's #1 Eyewear retailer info@houseoflunettes.com 09052200078</t>
  </si>
  <si>
    <t>♍👑
Sweet,Selfless,Kindhearted,i love 😍,fun to be with,God 😱Am Mercy</t>
  </si>
  <si>
    <t>Politólogo👨🏽‍💻 / Estudiante #Derecho👨🏽‍⚖️ / #UAM / #Atletismo🏃/ 🔎 Electoral 2012 y Funcionario de casilla 2017 y 2018 / #PokemónGo Nivel 40 /</t>
  </si>
  <si>
    <t>#Branding expert, creating #Startup names, with exact .com domains by Commulinks of #Colorado aka Brandulinks
Tweets about #Entrepreneurs #Startups #Marketing</t>
  </si>
  <si>
    <t>1️⃣ World's #1 Naming Platform ☘️ 200,000+ Creatives 🔥 Over 25,000 Projects Completed ⭐️ Rated 4.9/5 Stars</t>
  </si>
  <si>
    <t>ポケモンGOアカ 今は愛媛県今治市で行動中のTL40 ゴプラはオートキャッチャー持ち 基本的には家の周りが多いからギフトの場所も似たり寄ったり</t>
  </si>
  <si>
    <t>25 anos. Cantor, Ator, Modelo, Dançarino, Escritor, Filósofo e Mentiroso...Gosto de falar, comer, escrever, ouvir e ler. Siga e conheça um POUCO quem eu sou! ;)</t>
  </si>
  <si>
    <t>Hi, Your warm welcome to our page, here you can find #watchesformen which consists of various styles.. here you can find it https://t.co/KkSMZS6vWH</t>
  </si>
  <si>
    <t>てつろやこと読む 鉄道狐。模型、旅行、狐が大好き。INGRESS💚14リカ1、PGO💛40、魔法💙教授35(yayakofoxy)愛車:VAG-C型。四尾の女の狐ルーシアと同棲。7/24生まれ。アイコンは茶紅摸さんから頂きました。</t>
  </si>
  <si>
    <t>ポケモン(レートバトル・ポケGO TL40)/アイマス/Fate.FGO(TYPE-MOON)/Splatoon 「MAGI」とか「MAGIぽけ」で活動してます</t>
  </si>
  <si>
    <t>The @MainChannel_ #Twitter #Promotion #Network 4 #Indies. #books #ebooks #authors #bookpromo #films #indiefilms #art #artists #indieartists - DM 4 #Promo Info.</t>
  </si>
  <si>
    <t>#jewelry #etsy #shopsmall #midcenturymodern #scandinavian #boho #cocktail #festival #shop519 #mcm #90s #farmhouse #local519 #etsyseller #etsyvintage #60s #50s</t>
  </si>
  <si>
    <t>Mid Century Retro Vintage Art Deco Antique Jewellery Furniture Unrestored Near London England GB UK  🏴󠁧󠁢󠁥󠁮󠁧󠁿 🇬🇧 Follow for Follow 🙂 Tweets in Likes</t>
  </si>
  <si>
    <t>横浜市
Team Valorローカルトレーナー
経験値7千万
イングレスレベル12　primeからの新人、wayfarer審査中☺️魔法同盟レベル29</t>
  </si>
  <si>
    <t>センシュクラッチ</t>
  </si>
  <si>
    <t>⇥☺︎NO MUSIC,NO LIFE☺︎⇤ back number🎸⇝ｺﾌﾞｸﾛ⇝あいみょん🏵⇝源さん⇝ 健二郎. なおちゃん.GENE🥔 and more.. ごちゃまぜ🍣🍣🍣. 🎥.📻FM802.@インスティンクト🧡🐀...そろそろ職場復帰したいなぁぁぁ🤤💭🩺</t>
  </si>
  <si>
    <t>Father of two daughters, husband, chartered civil engineer, bee keeper, DIYer, reluctant gardener, enthusiastic woodworker and talker to people I don’t know.</t>
  </si>
  <si>
    <t>UK based cycles: carbon framed aeroroad bike, sportive and explorer bikes. 
info@northroadcycles.com 
01613270904</t>
  </si>
  <si>
    <t>Fresh Food, Coffee and Cakes. Family Bakers since 1913.</t>
  </si>
  <si>
    <t>Make large plans love small details. Landscape Architect,Urbanist,cyclist. Joint Managing Director Planit IE Ltd. Shaping @peellivwaters . Views my own</t>
  </si>
  <si>
    <t>Cuando no veas claro lo que tienes delante, o algo te impida ver con claridad, puede que el problema lo tengas al alcance de tus ojos. Ven y verás</t>
  </si>
  <si>
    <t>ゲーム用ツイッター出戻り。ゲーム（FEH・ingress・モンハン・バーチャロンは思い出語り程度）、仮面ライダー・ガンダムのネタで呟きますが、途端に政治系もRTする面倒くさい奴です。ポジティブもネガティブも言いますので、ポジティブな発言だけが欲しい方にはお勧めしません。ミュート各種ご自由にどうぞ~。</t>
  </si>
  <si>
    <t>Ingress, ネギマ, そしてIPA.</t>
  </si>
  <si>
    <t>夏は雲を追いながらポチポチ
Ingress ENL agent
癒やし系をリツイートします。</t>
  </si>
  <si>
    <t>Motha of 2 | Designer | Creator | Lvl40 PoGo Player | @G2G_Med1a Co-Founder | @pokemongohubnet Retiree</t>
  </si>
  <si>
    <t>Pokémon Podcast and Content Network 
Lured Up 
Gotta Watch'em All 
Special Conditions 
NJ GO Battle League 
TCGPlayer Affiliate - https://t.co/kue5q9RWTs…</t>
  </si>
  <si>
    <t>NEW ON TWITTER We take AR+ pictures around the world! Pokémon Go Couple. 18k followers on INSTAGRAM @PeloPoGo</t>
  </si>
  <si>
    <t>Gaming2gether Media is a global family of visionaries who promote their fellow creators while bringing unity to the Pokémon Go Community.</t>
  </si>
  <si>
    <t>co-admin/writer/builder of all things/G.O.A.T. for gaming2gether media</t>
  </si>
  <si>
    <t>Creadores de contenido. Encuentra aquí todo sobre PokémonGO y más.
Pokémon GO Content Creators. Find here all you need to know about the game.</t>
  </si>
  <si>
    <t>✨</t>
  </si>
  <si>
    <t>神様 🕆 23 years Fedex　五年間ぐらい日本語を勉強しています   Photographer #T6i #Wayfarer #Wanderlust #海外旅行 #Orange #橙色が大好き　よろしく
Instagram: stickminphoto All photos are my works.</t>
  </si>
  <si>
    <t>ケモノと美少女着ぐるみとぴっちりコスチュームその他ふぇちぃものを色々たしなむ人種。VRChat、ingress、他お酒、宇宙関係など。各SNSやゲームアカウントはtokiwailm（常盤いるむ）統一。干し芋リストはwebサイト欄。</t>
  </si>
  <si>
    <t>JUVENTUS PER SEMPRE NEL♥️ JUVENTINI SI NASCE NON SI DIVENTA 100% JUVENTINO VINCERE È L'UNICA COSA CHE CONTA GOBBO FINO ALLA MORTE⚫⚪ TUTTO IL RESTO È NOIA CR7😎</t>
  </si>
  <si>
    <t>Il più popolare sito di Metal in Italia, punto. \m/</t>
  </si>
  <si>
    <t>I Love Hard Rock&amp;Heavy Metal🤘</t>
  </si>
  <si>
    <t>ポケGO専用⁉️アカウント。🚀ロケット団の追っかけ、✊対人戦(PvP)が好きなおっさんです。PvPは少しハードル高いけど楽しく頑張ってる💪先ずはフレンド欲しい…お願いします🙇‍♂️少数募集twitterと紐付したいので📩DM,リプで教えて下さい。フレンドコード 7437 0970 7673 私からも申請します。</t>
  </si>
  <si>
    <t>(*✌️_ω_)✌️ｱﾋｮ顔Wピース ポケモンスタンプラリー(JR東)限界オタク やくるよﾊｧﾝだよ INGRESS RES A16→A10 KameFranc 8月VFS参加予定 MDおうめMD呉復興MD潟上待機 #ぽこもよすたんぴらりぃー2018 #ぽこもそすたそぷらりー令和元年</t>
  </si>
  <si>
    <t>神奈川県に分布中なうー(o_△_)o　最近はネット小説(ハーメルンと小説家になろう等)読んでばっかり。あとアニメとニコ動。
なるべく特別な事以外は呟かない様にしてます。フォローしてる人のはなるべく読んでるの。だから1万とか呟いてる人のは基本フォローできないのでごめんなさい。無言フォロー失礼します。無言フォロー歓迎。</t>
  </si>
  <si>
    <t>家族の次にポケモンgoが好き♪
基本強いポケモンが好きです（笑）
絵文字は使いません(๑•̀д•́๑)ｷﾘｯ
大体いつも本厚木か海老名で行動
♪アイコンはみいさんに♪ヘッダーはとこさんに、作って頂きました♪
フォロー宜しくお願いします♪from Japan</t>
  </si>
  <si>
    <t>電子楽器CAmiDionの作者。自らも楽器セッションに溶け込んだりする／ボカロ：うどんそばP／Pokémon GO 黄チーム レベル40 リリース当初からプレイ中／1990年代にアマチュアパケット無線やJUNETに出没してた一人／本職：プログラマ／1971年(当時4歳)から横浜南部・円海山のふもとに在住</t>
  </si>
  <si>
    <t>fan de nonda, de feynman, de swartz, de dota et de guinness</t>
  </si>
  <si>
    <t>都内でゆるく活動している、Enlightened所属のAsnerです。こちらはIngress専用のアカウントになります。</t>
  </si>
  <si>
    <t>位置情報ゲームIngressのEnlightened（エンライテンド）陣営向けのニュースアカウントです。日本はもちろん、世界中のENLのホットな話題、アノマリーやMissionDayなどの国内外イベントをご案内していきます。（Ingress や Niantic, Inc. との提携関係はありません）</t>
  </si>
  <si>
    <t>[ぼんやり草食キャプテン] 面白いモノ・情報を集めたりやったりするのが趣味。 失敗したら笑うが吉よ。 大喜利好き。ingressはENLのA11。基本プレイスタイルはリアキャプです。ポケモンGOは赤、ハッフルパフの魔法使い。西武やサッカーのこともつぶやきます。</t>
  </si>
  <si>
    <t>口出しはするけど手は出さない。足は口の延長ですから蹴りますけど何か。</t>
  </si>
  <si>
    <t>ポケモンGO 千葉県 20歳 赤TL40 💁</t>
  </si>
  <si>
    <t>ポケモンGOTL40赤。たまにお絵かき。ポケモン以外のツイートも多め。無言フォロー派。リプ頂いても気付かない事が多いです。コミュ障なのであまり絡みません。</t>
  </si>
  <si>
    <t>ポケモン三昧です✨
最近は、wayfarer（ポケスト審査）やポケスト申請に力を入れています。</t>
  </si>
  <si>
    <t>Missouri's premier truck, trailer and RV dealer!</t>
  </si>
  <si>
    <t>Retired, retiring NW based Yorkshireman (ex #Hull). Active beer drinker and pub goer. Proud Dad to @EmmaMarchment Mostly, I am living in 70s &amp; 80s. Likes cheese</t>
  </si>
  <si>
    <t>It’s a big country out there, so go and enjoy it and stop spending so much time on twitter, as you might you just get thirsty.</t>
  </si>
  <si>
    <t>Craft beers, gins, whiskies, wines &amp; a great range of other drinks, https://t.co/Sdwl3FE1YF has every drink you need, all under one virtual roof. #DrinkDifferent</t>
  </si>
  <si>
    <t>ポケモンGO どうぶつ オーブンブレイク/無言フォローすみません</t>
  </si>
  <si>
    <t>ポケモンgoはじめました。</t>
  </si>
  <si>
    <t>ポケモンGO備忘録垢/赤ﾁｰﾑ/単垢/たまに家族共闘/TL40(2016.7.22〜2017.11.4)/筑豊/北九州/福岡/ﾎﾟﾝｺﾂﾄﾚｰﾅｰ/レイド少/OpenStreetMapﾏｯﾊﾟｰ/Wayfarer審査/ﾎﾟｹｽﾄ申請/ingressはﾏｯﾌﾟ閲覧用/読みは【たじゅりな】🚹</t>
  </si>
  <si>
    <t>Agent:lSSenterprise murmurs the comment written in COMM and multi lSSenterprise handles- account properly.</t>
  </si>
  <si>
    <t>ポケモンGO用のアカウント。青、TL40。バトルリーグ初級者。</t>
  </si>
  <si>
    <t>Ingress/Resistance PokemonGO/Instinct e.t.c. https://t.co/twbd1F5ziN Work at IBM Japan. Posts are my own. 位置情報ゲーム「Ingress」に関する卒業論文を公開中：https://t.co/JCajHd7NCu</t>
  </si>
  <si>
    <t>たまにアニメイベントにいく死にかけオタク豚
。
西明日香さん洲崎綾さんを初め沢山の声優さんを推している所謂DD。
基本エロゲ脳なのでセクハラ発言ありましたら御容赦ください。
WL中心に模型もチマチマやってます。
ポケモンGOが生活の一部。赤LV 40
0259 1838 4688 letvizan お気軽に～。</t>
  </si>
  <si>
    <t>ポケモンGO/剣盾/メダロットS/あつ森/SASUKE/ロードバイク</t>
  </si>
  <si>
    <t>BLOC Eyewear Official https://t.co/COXQCqjUJh https://t.co/zlSrdwcgQi For Customer Service dept. please drop us an email to info@blocsystems.co.uk</t>
  </si>
  <si>
    <t>山形県庄内地方にて、ダラダラとポケモンGoとIngressをプレイしてます。2018/5/7よりポータル(ポケスト)申請を出来るようになり、２０２０年になる前に約220個生やしました。位置ゲー以外はフォロバしません！(笑)</t>
  </si>
  <si>
    <t>I retweet #art stuff🔥 Follow for a cookie :)</t>
  </si>
  <si>
    <t>Wandering #Humanist #clergy helping #Minds #bodies, &amp; #communities. #clergy #love #pastoralcare #weddings #art #mindfulness #mentor #traumainformed #humanism</t>
  </si>
  <si>
    <t>TL40x15⚜️３億XP◓⃙捕獲29万匹↑🎖黄色チーム⚡️👰カイリキーと結婚し ました💍✨カイリキー高個体フル強化いっぱい💪🏽🔥AR撮ったり撮られたり勢📸 Instagram🆔mairikii08 アイコン✰とんきちさん ヘッダー✰マチャゴさん</t>
  </si>
  <si>
    <t>つのおふについての質問はいつでもどうぞ～。きまぐれにつぶやいてます。ブツブツ… 
Ingressでポケストップを増やす活動をがんばってましたが、最近は審査のほうにハマってます。
猫のふくちゃんの写真もときどき上げているので、見てください。</t>
  </si>
  <si>
    <t>時々お酒を嗜みます。西宮生まれ神戸在住です。シュミのingressは緑チームで2017.7.8から開始。AG名はHyroThomoXYZだけど僕もコレ読めないよ...</t>
  </si>
  <si>
    <t>Living in SG 🇨🇭 Loves food, travelling 🇯🇵🇰🇷🇱🇦🇮🇳🇳🇵🇨🇦, cooking, soccer, books, Netflix, K-pop, bullet journaling and videogames.</t>
  </si>
  <si>
    <t>fiel jugador de la saga del call of duty y del wow</t>
  </si>
  <si>
    <t>魔法同盟に加わったIngressも始めたポケモンGOトレーナー。基本的にROM専。ポータル生やしたりリコンしたりしてます。黄色いレジスタンスの教授です。だいたいSKTで活動中。ポケマップのID固定用に作成。このアカウントは20180611スタート</t>
  </si>
  <si>
    <t>#PokémonGO:TeamValor.TL40/#ingress:Res.A16→Res.A13(Recursion)/#Wayfarer</t>
  </si>
  <si>
    <t>愛知県のど田舎を拠点にポケモンGoやらIngressやってます。最近Wayfarerの審査員はじめました。</t>
  </si>
  <si>
    <t>主に徳島市内～藍住〜応神辺りでレイドやってます。徳島の方は勿論、県外の方も大歓迎👍青TL40の復帰勢です😊無言フォロー失礼します。リプ&amp;無言フォロー大歓迎😁
最近ポケスト申請にハマリ中で、Ingressもはじーめました♪♪🔰（AMEMIYA風）😉見習い審査員🔰</t>
  </si>
  <si>
    <t>#BeekeepersHour Thursday 9pm - 10pm UK
Share your news, pictures, events and tips with other #Beekeepers around the world.
We will #RT #BeekeepersHour tags 🐝</t>
  </si>
  <si>
    <t>Flourish at Ford Way- Community Gardening Project. We also have bees and make honey!</t>
  </si>
  <si>
    <t>ポケモンGO専用アカウントです。主に多摩と新宿で、時々渋谷・府中・町田などで活動中！伝説レイド・ポケストップ申請（審査）・卵割りには特に情熱注ぎます！ポケGO絡みのフォロー・声かけはこちらにて♪ ※辛口発言時々有</t>
  </si>
  <si>
    <t>ポケモンgoとあつ森やる人です。株と暗号通貨も触ってます。TL40で9263ビジョナリーHDガチ勢です。世界、日本情勢、GLAY、あゆ、マンウィズあたりをその日の気分で喋ってます。 アイコン作成@75min_kingyoさん(∵ )Э )3</t>
  </si>
  <si>
    <t>Fashion, Style, Accessories, Sunglasses, Shoes, Moda, Sweaters, Jeans, Shirts, Hats, Jewelry, Watches, #esquireattire</t>
  </si>
  <si>
    <t>マイペース成人済おたく☺️映画・舞台鑑賞・ゲーム(ポケモンGO/テトリス/どうぶつの森)が好き🥰あつ森はリアルタイム進行(サブ島はタイムトラベル)、ポケ森はLv180↑ 化石、美術品、店売り家具、傘、壁床、シャンク、ローラン、リサイクル、とたけけ、DAL、ポスターコンプ済 全流星群特定済 求めている物はリンク先↓</t>
  </si>
  <si>
    <t>宇垣アナのつもりでポケモンGOやってます🐱🐾TL40 ハリーポッターの魔法同盟もやってます🧙‍♀️🧚‍♂️💫</t>
  </si>
  <si>
    <t>15 yrs 🌿
COLORADO ❤️
GE🍑RGIA
   FL🍊RIDA 
-Indian River County ✌🏻🌊
-Lee County -Fort Myers 🌴🐊
-Orange County  -Orlando 🍊🇺🇲</t>
  </si>
  <si>
    <t>ポケモンGO／黄色／ 鷹の爪団主席戦闘員／ヘッダー@mk33685さん</t>
  </si>
  <si>
    <t>基本的に趣味や興味のある事をつぶやきます 
#Ingress sierra08のゆるふわres
#outdoor 高いとこ嫌いw
#ワンコ　元保護犬のお嬢様
※穴堀は引退しました。</t>
  </si>
  <si>
    <t>#CHRISTIAN  #MAGA  #PATRIOT  #QAnon  #WeThePeople  
#ProLife</t>
  </si>
  <si>
    <t>Home is our happy place, now more than ever. 💜 
Support hours are Monday – Friday: 9AM – 5PM EDT. For further help, contact service@wayfair.com.</t>
  </si>
  <si>
    <t>Award-winning investigative journo. In news sites everywhere. Fmr @baltimoresun @PhillyDailyNews. Writes books.  Real-life Socialist. #BLM #M4A 🏳️‍🌈 ♿ she/her</t>
  </si>
  <si>
    <t>Slave to the almighty dollar 💵</t>
  </si>
  <si>
    <t>👹🖕🖤💯
FAIR WARNING: Remember when you enter my thoughts, they are not all my own...</t>
  </si>
  <si>
    <t>She/her; #BLM. Former Assistant Professor of Health &amp; Media Communication at UMD. Now I’m just a disabled citizen news junkie and Dr. Mom. #ImpeachTrumpAgain</t>
  </si>
  <si>
    <t>Every day is a Gift..!!! Enjoy!!!!!</t>
  </si>
  <si>
    <t>I do distributed web dev, architecture, management and general IT stuff ❤️ #Azure + #AzureDevOps  ☁️ Father of three 👨‍👦‍👦👩‍👧 #DoYourJob #NoDaysOff #GoPats</t>
  </si>
  <si>
    <t>Learning never exhausts the mind 🧠 Businessman 🤝 Engineer ⚙ Teacher 👨‍🏫 ¡Descarga esta nueva app! 👉 https://t.co/gzgrIhFKQ5 👻 ⬇️ ¡Acelera tu inglés! 🚀</t>
  </si>
  <si>
    <t>地球人 大阪出身 宇宙艦隊アカデミー吉田山分校卒業 専攻は宇宙物理学（太陽物理学） U.S.S.オーサカにて技術士官として勤務 イルモディック症候群を発症したため退役 現在は愛媛の田舎でブドウ等を作る日々を送っている。</t>
  </si>
  <si>
    <t>I’m simply me</t>
  </si>
  <si>
    <t>Community-run independent radio station. Amplifies art ideas and broadcasts creative, original programming. 97.1 FM #WXOX Louisville, KY. Streaming worldwide.</t>
  </si>
  <si>
    <t>FM RADIO DJ @ARTxFM The Wayfarer Way Friday’s 4-6pm EST. Louisville, KY</t>
  </si>
  <si>
    <t>stellar spectrograph airs thursdays 6-8 pm EST wxox 97.1 fm</t>
  </si>
  <si>
    <t>Sandrucci54 40x11 and I'm a pokestop creator</t>
  </si>
  <si>
    <t>ポケモン専用垢　　
無言フォロー失礼しますm(_ _)m
ポケモン歴 23年
　　　　　　　　緑→青→銀→サファイア→パール→プラチナ→黒
→白2→Y→オメガルビー→ムーン
→ウルトラサン→シールド
　　　　　　　</t>
  </si>
  <si>
    <t>@BarbaraRedgate @flynn_neill @GenFlynn @WayneDupreeShow @OliverMcGee @WomenforTrump @CharlieKirk11 @cvpayne @ScottBaio @jerome_corsi @michaeljohns @ChanelRion</t>
  </si>
  <si>
    <t>The Cyrus Report is U.S.A. Media that publishes REAL news, opinion, and analysis. Everything to keep Americans well informed</t>
  </si>
  <si>
    <t>#MAGA TRUMP TEXT 88022 Followed by @mitchellvii @GenFlynn @Thomas1774Paine @jerome_corsi @charliekirk11 @WayneDupreeShow @scottpresler @realMattCouch</t>
  </si>
  <si>
    <t>HUGE Trump supporter since the beginning , Follow me &amp; I will follow U back! I’m only on Twitter to fight for &amp; support President Trump Not to Date! KAG 🚫DM’s</t>
  </si>
  <si>
    <t>#Election2020 I support President Trump! #MAGA2020 Wife mother of 4 Grandmother of 9, I follow back all patriots</t>
  </si>
  <si>
    <t>GAME &amp; GAME …P/Unity勉強中/Webライター/MCU/ポケモンGO 赤 &amp; Ingress 緑 伊藤園 自宅EXレイド勢/デレステ/オルガル/NintendoSwitch/XboxOneX🦂/PS4Pro/PSVR/元MCPCケータイアドバイザー/元Andoroidマスター/元iPhoneマスター</t>
  </si>
  <si>
    <t>位置ゲ用アカウントになります。よろしくお願いします。”Good work! ”  
#ingress / ENL Saitama / #ドラクエウォーク / #ポケモンGO / #Wayfarer</t>
  </si>
  <si>
    <t>白河在住ジェフサポ。今年はフクアリ行く。元牛村人狼PL。地政学勉強中。
ポケGOは青ジム。気ままに申請・審査。
地理系ヲタ→建築物/市町村合併/都市論など。マンガ系呟きRT魔。猫派。たぶん瞳フェチ。</t>
  </si>
  <si>
    <t>元プリニー。お勤め終えて人間に転生したッス！ 位置ゲー/ドラポ/御朱印/etc. 無言フォローしますので悪しからず</t>
  </si>
  <si>
    <t>ポケモンGO😈青チーム😎 フレンド募集中🤝 ポケモンGOメイン 石川県勢 キン肉マン毎週読んでます🐷興味あること呟く用 #Wienners #Wayfarer #TeamGORocket #GOsnapshot #ポケモンGO #キン肉マン</t>
  </si>
  <si>
    <t>ingress ENL / Wayfarer</t>
  </si>
  <si>
    <t>ねこ、サッカー（鳥取・広島）総務畑、ingress-ENL、読書、and so on... ヘッダーは去年五月に闘病の末亡くなりましたくぅちゃん。天使のように可愛い子でした。</t>
  </si>
  <si>
    <t>エアIngress勢。</t>
  </si>
  <si>
    <t>ポケモンGO初日からプレイでTL40。IngressA12。アラフォー社畜プログラマー。 テンアールと読みますが、iPhone XRではないです。ブースター/ブイズ/ミュウツー/ミニリュウ 好き。あっくんチャンネル(ポケGO YouTuber)裏方。 @crossaki_123</t>
  </si>
  <si>
    <t>コレステロールとたたかうエージェント hyperi0n94 Ingress Enlightened Kyoto / Iwaki</t>
  </si>
  <si>
    <t>ポケGO時々ドラクエウォーク＋Ingress。Ingressミッション作成、ミッション実施を繰り返しながらゆるゆると。ストビュー撮りながらポータル申請、ポータル審査が趣味なカビゴンどす。(๑⃙⃘¯−¯๑⃙⃘)</t>
  </si>
  <si>
    <t>東方・ガンダム・戦艦(艦これ勢)・戦史・廃墟他に反応。時々姫ネタ。
Switchフレコ:8356-9107-0318
スイッチネーム:わーる
不思議のダンジョン救助隊DX,あつまれどうぶつの森(pitaya島)</t>
  </si>
  <si>
    <t>ラキです。シンオウ地方のくらげたちと幸せに暮らすチームヴァーラーのトレーナー。旅人です。</t>
  </si>
  <si>
    <t>北九州の黒崎八幡近辺でポケ活してるおばちゃんです。ヨーさんと呼ばれてます🤗 赤組。2017年10月13日にTL40になりました。2019年2月16日アンノーンメダルが金🎖ご協力に感謝です♡引き続き「❓」募集中。みんぽけレベル34。ingressは一応やってる程度、緑です。</t>
  </si>
  <si>
    <t>Nianticは「Adventures on Foot」のミッションのもと、地図技術とAR（拡張現実）技術を組み合わせ、@Ingress や @PokemonGOAppJP など、「探索をして新しいことに出会う」「身体を動かす」「現実世界で他の人たちと関係を持つ」を軸にサービスの開発、提供を行っています。</t>
  </si>
  <si>
    <t>Nianticの日本語の公式サポートアカウントです。 @Ingress, @PokemonGOAppJP, @HPMahouDoumeiのサポート情報をお届けします。</t>
  </si>
  <si>
    <t>blocked by @JohnLegend here &amp; on IG, red pilled from birth... #WWG1WGA - donde vamos uno, vamos todos... ✊🏻✊🏼✊🏽✊🏾✊🏿</t>
  </si>
  <si>
    <t>#WWG1WGA #Trump2020 #MAGA #KAG</t>
  </si>
  <si>
    <t>#TheGreatAwakening Q
#WWG1WGA  life path 11 
Been following Q from the start. 
#̷̧̢̼̤͈̼̫̋̾Q̸̼͔͕̗͚̟̉̄̄͝a̷̞̗̺̐̔̚ṇ̶̨̢̦͚͚̜͇̯̉̓̑̉̏͋̕͝ö̴̡̟̥͔̟̞̯̠̳́ͅṇ̵̫̭͔̈́̓͆̄̈́̋̈́̓</t>
  </si>
  <si>
    <t>Model Agent</t>
  </si>
  <si>
    <t>Godfolabi zone</t>
  </si>
  <si>
    <t>Baker, pro wrestler, Patriot #wwg1wga Q #stormishere #realcollusion #draintheswamp  #popcorn #trusttheplan #TheGreatAwakening</t>
  </si>
  <si>
    <t>ニッコリ笑顔でご挨拶。</t>
  </si>
  <si>
    <t>🌟赤TL40
🌟朝or夕💬休日⛵☀
🌈最強を目指して👍
🌈最強＜愛&amp;友情💞
🌟色違い＜砂＜高個体
🌟無言フォロー🆗
TL圧迫😖
ポケGo💘or知人🤝
フォロバ🙏
マイフォロー👐
🌟日本語変換😱話好き🤫
🌟AR……📷
✨ #Max強化 #個体値Max #色違い #技開放 #高個体</t>
  </si>
  <si>
    <t>29歳+XXXヶ月ギリセーフwと言い張るアラサー(断言
sinestzet固定名で多方面に生息中
「ルカ様に踏まれ隊」所属ｗ
 抱き枕はショルキー・ヤマハＫＸ５</t>
  </si>
  <si>
    <t>札幌(西区、中央区)を中心として活動してます！昔やってて、2019年復帰しました！ わからないことが多いのですがよろしくお願いします！ TL:黄色40 フレンド申請はDMへ！無言フォロー失礼します。</t>
  </si>
  <si>
    <t>enjoy！PokemonGOLife /mystic/高校生トレーナーTL40(2020/03/18 )/h14 LDK 宮城県大崎市三本木</t>
  </si>
  <si>
    <t>多趣味な≒集中力の無いアカウント
８歳くらいの男の子が好きなものは大体好きなおっさん</t>
  </si>
  <si>
    <t>🇬🇧🇺🇸🇮🇪
2020 is going to be a year to remember.
Wake up now - take action 
#awakenings
#wwg1wga</t>
  </si>
  <si>
    <t>Starseed of Orion. IG: @holybones_ here to help usher in The Great Ascension with practical tips &amp; thought-provoking wisdom.</t>
  </si>
  <si>
    <t>Cor mundum crea in me, Deus, et spiritum rectum innova in visceribus meis.
#Bitcoin enthusiast.
Viva Cristo Rei!!!</t>
  </si>
  <si>
    <t>Adopted by the City of Gold. #TheCateringEquipmentGuy 
Mechanical contractor and motor bike fanatic. Work Hard, Play Hard</t>
  </si>
  <si>
    <t>Genuine Since 1937</t>
  </si>
  <si>
    <t>Sunglass Hut is the ultimate destination for sunglasses. Live for style or sport? We’ve got the best designer brands under the sun.</t>
  </si>
  <si>
    <t>Husband, Christ Follower, Father, conservative, I help my burned spy best friend! no porn #godfirst #maga #trump2020 #wwg1wga #chuckfinleyistheman</t>
  </si>
  <si>
    <t>ポケGOメインですが時々他のことも。
赤チーム、TL40、無課金、岩手、宮城でまったり活動中。
ポケGO関係の方のフォロー大歓迎。
特に高個体値、色違い、レアポケネタや、おめでたいネタ、かわいいネタにいいねします。
無言フォロー失礼します。
フレンド希望の方はDM下さい。
ド田舎ギフトですが可能な限り送ります。</t>
  </si>
  <si>
    <t>#WWG1WGA #THEGREATAWAKENING #QANON #TRUMP2020</t>
  </si>
  <si>
    <t>ぷよクエ垢 UR750↑ アイコン書いた。ヘッダはギルマス様との合作///</t>
  </si>
  <si>
    <t>パンツの人と言われがち。腹痛は日頃の行いが原因(フォロワー調べ)空リプマン。描く気が出ないのでやる気かアイコンください</t>
  </si>
  <si>
    <t>#GodLevel #Blackownbusiness #Queen #Movingforward #Love #Elevate #Evolve #Healing #Businessowner</t>
  </si>
  <si>
    <t>Essex Girl. Petrolhead. Cars. Motorbikes. Vans. Hotrods. Customs. Drag Racing. Arsenal. Weekend MTB Wanker. *All views/opinions are my own*</t>
  </si>
  <si>
    <t>The best thing of waking up every morning is that Trump is still our President and freedom is ringing and jobs are growing.
God bless President Trump</t>
  </si>
  <si>
    <t>That's not very meta of you</t>
  </si>
  <si>
    <t>happily married. Mother to 4, plus 3 in Heaven. Catholic. ProLife.Adopted by my grandparents. Part of a Deliverance team .Retired PT</t>
  </si>
  <si>
    <t>Catholic mom of 7.   Faithful daughter of Mother Church. Slave of Our Lady.</t>
  </si>
  <si>
    <t>Catholic wife &amp; mom #ProLife - full time warrior #SpiritualWarfare Battled w/ the enemy - Jesus won! #KnowYourEnemy -Devoted to His Holy Wounds -#PrayforPriests</t>
  </si>
  <si>
    <t>Catholic revert mom of two. 
I tried many different religions, Christian &amp; other wise. Decided On Catholic. Message of God’s The Divine Will is amazing.</t>
  </si>
  <si>
    <t>Why worry about 5G, when you have 5D
QmnemMovereLapidem #WWG1WGA
#Qanon #Defenders</t>
  </si>
  <si>
    <t>Liberty #WWG1WGA Q 17 45 patriot right libertarian #wethepeople #endthefed</t>
  </si>
  <si>
    <t>Award-winning Wedding Photojournalist, Leicestershire, UK
Photography without ego, it's your day, not mine.
Real people, moments and emotions, not faked.</t>
  </si>
  <si>
    <t>PokeGO復帰勢ゆるふわTL40:GBLﾌﾟﾚ=ﾗﾝｸ7・ｼｰｽﾞﾝ1=ﾗﾝｸ8・ｼｰｽﾞﾝ2=ﾗﾝｸ8(苦戦中)/🐮22♀/高さ:1.63m  重さ:48kg/Fﾗﾝ短大卒ﾌﾆｰﾀｰ(ﾌﾘｰﾀｰ&amp;ﾆｰﾄ)/無言ﾌｫﾛｰ大歓迎✨現在ポケフレは募集してません💦
ヘッダーは@mk33685さん。</t>
  </si>
  <si>
    <t>ya neva kno</t>
  </si>
  <si>
    <t>A descendant of vikings repulsed by the demonization of white people by race hustlers on the left.!  #LiberalismIsAMentalDisorder #Trump2020</t>
  </si>
  <si>
    <t>#GODWINS ✨</t>
  </si>
  <si>
    <t>Communications major
.
But also like totally all like
United States of Whatever</t>
  </si>
  <si>
    <t>probably watching Bravo</t>
  </si>
  <si>
    <t>“If we have no peace, it is because we have forgotten that we belong to each other.” -St Teresa of Calcutta #freethinker</t>
  </si>
  <si>
    <t>#TakeTheOath 🇺🇸 #WWG1WGA #MAGA God First. Peace. Love. Unity. No DMs</t>
  </si>
  <si>
    <t>International bankers are master manipulators of world affairs #EndTheFed #Freedom #Voluntarism #Agorism #BDS #AntiZionism #AntiMasonry #Redpill #Eph612 #Yah</t>
  </si>
  <si>
    <t>AmerInd - Retired BP &amp; Petro-Chem Industry. Grew up in Houston, TX. Machinist, Welder, Builder, Designer, Organic farmer &amp; herbalist. Libertarian 
TX, SLEC</t>
  </si>
  <si>
    <t>You're not to be so blind with patriotism that you can't face reality. Wrong is wrong, no matter who does it or says it. 
Malcolm X</t>
  </si>
  <si>
    <t>PUT GOD 1ST! | Spread Love Always | KAGO|
Interior Architect/ Property Developer| 
Social Enterpreneur | Husband | Brother|
Web: https://t.co/MatWKtZUbW</t>
  </si>
  <si>
    <t>Trying to learn from my mistakes. Still hanging around. Men in blue scare the hell out of me. Anti-War since 64’ Ancap Wolfpack</t>
  </si>
  <si>
    <t>Christian, Wife to a Retired Air Force Veteran, Mother, Red Pilled and Awake, Truth Seeker, 🇺🇸 Proud Patriot 🇺🇸 #WWG1WGA #Trump2020 #TheGreatAwakening</t>
  </si>
  <si>
    <t>Proud Mother &amp; Newly Appointed Digital Soldier 🇺🇸♥️🤍💙🇺🇸 #WWG1WGA #DigitalSoldier #Murica #IDoWhatIWant #MAGA #TRUMP2020 #TruthSeekersOnly</t>
  </si>
  <si>
    <t>Everybody wants to follow a somebody. I’m a nobody, but I’m not here for you. I’m here for the kids😔#ThoseWhoKnowCannotSleep #SaveTheChildren #QAnon #WWG1WGA</t>
  </si>
  <si>
    <t>† I LOVE JESUS &amp; MY FREEDOM ♡ †</t>
  </si>
  <si>
    <t>Far from worldly unjust fanaticism, "The School Of Revelation " Page is created to expound, elucidate and explain nothing but the school of intellect.</t>
  </si>
  <si>
    <t>‏‏‏‏‏‏‏سیرہ و بیانات سیدالطائفتین ‎‎#علامه_طهرانی رضوان الله علیه</t>
  </si>
  <si>
    <t>Aspiring PTA🎓ASES💪🏽Certified Master Trainer MMACC🥋Multiple specialization certifications @karatekidmovie &amp; @stranger_things fanatic🤙🏼AHOY⚓️</t>
  </si>
  <si>
    <t>NEVER ESTABLISHED 💯
Official sponsor of UFC fighter @NateDiaz209 #represent</t>
  </si>
  <si>
    <t>青いプロテインの人(A13)</t>
  </si>
  <si>
    <t>位置ゲー専用アカウント
Ingress　埼玉県熊谷市を寝床にしているレジスタンスです
　　　　暫くの間、守りは封印・攻めとミッションに集中予定
　　　　☆彡他のAGさんに活発に遊んでほしいのね
　　　　　固めちゃうと、つまらないから離れちゃうでしょ♡</t>
  </si>
  <si>
    <t>🇨🇦</t>
  </si>
  <si>
    <t>88 keys. singer-songwriter-pianist (folk-roots-pop). 100+ shows per year. Latest single Mar 2020: https://t.co/BgSVNtPEcn</t>
  </si>
  <si>
    <t>💕✨</t>
  </si>
  <si>
    <t>ゲームの傭兵企画。何にでも首を突っ込みたがる性格が影響して、便利屋さん的な何かに(^^;;。Xbox360のゲーマータグ(GamerCard)：KANIWO、ゲームblog「かにブロ」、自転車blog「自転車奇行」、なんぞもやっています。</t>
  </si>
  <si>
    <t>Freedom from incorporated (de facto) governments, restoration of self (de jeure) governments. Great Awakening. No fear. Golden Rule is all we need. #MAGA #Q</t>
  </si>
  <si>
    <t>#KeepAmericaGreat. #InGodWeTrust #Trump2020 #Winning #WWG1WGA #SaveTheChildren  #QANON</t>
  </si>
  <si>
    <t>I'm pretty cool so follow me, Love Life, Have Fun, Bay Area Livin #Communist #Chicano #TeamCrAsian #KGBLee #ThugRose #TeamGadelha #fitfam #invictabro #BLM</t>
  </si>
  <si>
    <t>Louisana born and raised..living in Georgia! Love my LSU TIgers! and New Orleans Saints! grandmother worried about grandsons future in this crazy world!</t>
  </si>
  <si>
    <t>MEGA GAMMA ION I AM A Quantum Consciousness. Light of the new Day. Awakening 11:11 V:V
2020</t>
  </si>
  <si>
    <t>Professional massage therapist (HHP) w/ over 19yrs exp specializing in DeepTissue,sports, pregnancy, &amp;geriatric massage,&amp; SCENAR Therapy modalities. CAMTC#39962</t>
  </si>
  <si>
    <t>Mom/GrandMa_Gigi
#WWG1WGA</t>
  </si>
  <si>
    <t>Christian, Conservative, Mom, Wife. Trump supporter 🇺🇸 #MAGA Here for Trump!! #TRUMP2020 If you’re a snowflake you will be offended following me.</t>
  </si>
  <si>
    <t>Christian MAGA Q Father Husband MERICA, MTCA (Make Them Cry Again) To everyone who’s ever served this great nation in our armed services.  Sincerely THANK YOU!</t>
  </si>
  <si>
    <t>Immigrant and proud USA Citizen for President Trump. Anti socialism. Anti communism.</t>
  </si>
  <si>
    <t>Mid life crisis=Lego, Patriot, I fly my flags Old Glory &amp; the Star Spangled Banner (they’re different) lurked to keep my handle until Trump took on the World</t>
  </si>
  <si>
    <t>Wife &amp; Mum from CA-7🌞 Here to witness #TheGreatAwakening w/ #QAnon &amp; fellow Patriots. #WWG1WGA #PeaceIsThePrize🕊 K🇺🇸G‼️ attacks/rude=BLOCKED</t>
  </si>
  <si>
    <t>We will not go quietly in 2 the night! We who stand# shoulder 2 shoulder will win God bless America &amp; all who defend
 her #JFKjr. #WWG1WGA  #Q #MEGA #💯TRUMP</t>
  </si>
  <si>
    <t>#Patriot #MAGA  #Qanon #TheStorm❌</t>
  </si>
  <si>
    <t>My heart may be ahead of it’s time, or late to the game...but I’ll spill it out here for you fellow TimeTravelers #saveOURchildren #EndHumanTrafficking #WWG1WGA</t>
  </si>
  <si>
    <t>Conservative Mom of 3 boys , GOP, #Tcot #MAGA. Thanks for the follow ..</t>
  </si>
  <si>
    <t>Jesus is the way and the truth and the light. 
God always wins. 
#WWG1WGA #WWG1WGAWORLDWIDE
#QAnon
#QAnon
#MEGA #KAG
#WWG1WGA  
#UNITEDNOTDIVIDED</t>
  </si>
  <si>
    <t>Pain heals....chics dig scars....glory lasts forever. #WWG1WGA #MAGA #TRUMP2020</t>
  </si>
  <si>
    <t>♢歴史、任天堂、少年ジャンプ中心の雑食垢♠︎和洋折衷、半人半獣キャラ大好き女♡ポケ⚔️🛡ポケGO⚡️ポケマス。フリージオちゃんは冬将軍！ソルロック様はストーカー！リーフィアはザマス！♣︎1次創作&amp;2次創作。擬人化擬獣化、クロスオーバー、声優ネタなんでもあり◎画像の無断転載や加工使用ダメ絶対⁂アイコンはポケ擬フリソル</t>
  </si>
  <si>
    <t>うそ</t>
  </si>
  <si>
    <t>今年、還暦を迎えるトレーナです。TL40 ×２です チームはサッカーチームロアッソと同じヴァーラー（赤）です✨ポケストップ申請の審査もしています(*^^*) 宜しくお願い致します🙇</t>
  </si>
  <si>
    <t>はい</t>
  </si>
  <si>
    <t>#MAGA #SCREWHILLARY #OBAMAGATE #KAG #FlynnFREEROGERSTONE #IFBP
#WWG1WGAWORLDWIDE smartass RACIST RUSSIAN BOT
#QARMY #WALKAWAY
Followed by @catturd2♥</t>
  </si>
  <si>
    <t>💙❤️ UNITY TEAM LEADER ❤️ 💙UNITE💛MAGA 💯KAG🧡🙏</t>
  </si>
  <si>
    <t>Gerald Loeb Award Winner ;) 2X Pulitzer Nom, Polk Nom, CFE Citi, @true_pundit SUBSCRIBE to podcast https://t.co/oT6pbSmPVe ---SUPPORT US HERE: https://t.co/aiT8kUsBcP</t>
  </si>
  <si>
    <t>#okiegirl “The only thing necessary for the triumph of evil is for good men to do nothing”.~Edmund Burke~ #KAG #2A #Patriot #WWG1WGA #Trump2020 #IFBAP</t>
  </si>
  <si>
    <t>45th President For The United States Of America | par ody Support Commentary 🇺🇸 - Text TRUMP to 88022</t>
  </si>
  <si>
    <t>Hope Rises like a Phoenix, do not be complacent, Stand firm for Freedom, less history repeats itself. FaithStrong! FB: @GenFlynn #CodeofVets KAG20 🇺🇸</t>
  </si>
  <si>
    <t>People demand freedom of speech as a compensation for the freedom of thought which they seldom use. Cowboy up, Jesus is Lord, Married, #2A❤️  USA, 💯 Trump #MAGA</t>
  </si>
  <si>
    <t>🇺🇸 Patriotic AF🔥 NO BS 🔥 #2A #God🇺🇸#Country🇺🇸#PizzagateIsReal 👑#Trump2020👑#NoFsGiven🔥#MAGA🇺🇸#USA🇺🇸#Constitution 👊🏼#NotPC💥#DefundTheIRS💥#IFBP</t>
  </si>
  <si>
    <t>Conservative, no tolerance for Militant Arab Islam, unabashed Trump supporter.  #WWG1WGA #MAGA2020 #PPC #RESTARTMIGA #QAnon #TRUMP2020</t>
  </si>
  <si>
    <t>Proud Infidel, MA, Christian, Grandfather, Retired Federal Agent, #Patriot #Veteran #Army~951A #BanIslam #FinishTheWall #America1st #MAGA #KAG2020 NO DM’s/PORN</t>
  </si>
  <si>
    <t>Ret. aerospace exec. USMC 57-65 1st.Mar.Div.,1st.TKBn. CCOT/2A/CCW/NRA. No list! RT-not endorsement. TDS is real. MAGAKAG DJT2020 Support Veterans. IFB</t>
  </si>
  <si>
    <t>Official Twitter Page of the FBI. Do not report tips here. Submit tips on terrorism or federal crimes at https://t.co/bvLnLbg98y. For emergencies, dial 911.</t>
  </si>
  <si>
    <t>USAF Veteran. GOD bless our Men and Women who Serve. #codeofvets #KAG FB @JessieJaneDuff @truckinwithnorm @WayneDupreeShow @GenFlynn on parler @emfvet1</t>
  </si>
  <si>
    <t>I'm here for President Trump &amp; his fight to save America from the Criminal Elites.
IFB Patriots who support @realDonaldTrump
P.S.
Epstein didn't kill himself!</t>
  </si>
  <si>
    <t>Florida Mom doing everything I can to make sure my daughter grows up loving the USA 🇺🇸. #MAGA #KAG</t>
  </si>
  <si>
    <t>Venezuelan Coach &amp; Professional Personal Trainer EXOS formerly Athletes Performance</t>
  </si>
  <si>
    <t>🇺🇸Red pill taker, truth seeker, truth speaker, Conservative, Constitution preserver, BS debunker, FEMALE PATRIOT🇺🇸 #AllLivesMatter #SaveTheChildren</t>
  </si>
  <si>
    <t>Lifelong NY Dem converted Midwest Republican #WWG1WGA</t>
  </si>
  <si>
    <t>Owner of the Dimmsdale Dimmadome</t>
  </si>
  <si>
    <t>Respect each other and yourself. Support humanity in desperate times with love, patience and understanding. WE MUST Stand Up against injustice. I have answers..</t>
  </si>
  <si>
    <t>Awaken soul here to spread love,light, kindness and unity.🤍#teamster #wwg1wga</t>
  </si>
  <si>
    <t>大親友ギフト開封どうぞ🙂17.10.29/TL40😄20.5.10青→赤🔴TL40×6☝️MR艦隊参謀💻OSM編集者🗺4*個体186匹✨ ingressLv13🕸中2息子ingressLv9📱遠隔やマルチ垢は大嫌い👎🏻活動自粛でwayfarer審査増👍🏻どう森の間借り島民🏝</t>
  </si>
  <si>
    <t>📖🎉📚</t>
  </si>
  <si>
    <t>ℐ ℒᎾᏉℰ ℳᎽ ℂᎾUℕᏆℛᎽ Ꭿℕⅅ ℳᎽ ℙℛℰЅℐⅅℰℕᏆ. #TrumpsBrigade 🇺🇸 #MAGAmillions 🇺🇸The Tweets Must Flow! 🇺🇸 2020 is our year!</t>
  </si>
  <si>
    <t>Sunglasses &amp; Eyewear online store.
Brand quality assured, without a sticker shock price tag.
We are here to democratize the Indian eyewear market.</t>
  </si>
  <si>
    <t>Patriot, truth seeker &amp; proud American. To "#Qanon" &amp; my fellow patriots; I am humbled &amp; it is an honor to be in your presence. Thank you and God bless.</t>
  </si>
  <si>
    <t>Husband, Father, Grandfather, Former Governor, U.S. Senator (R-UT). Follow @SenatorRomney for official updates.</t>
  </si>
  <si>
    <t>🇺🇸Patriot🇺🇸Digital Soldier🇺🇸 #TheGreatAwakening #WWG1WGA 🇺🇸 #FallCabal🇺🇸 https://t.co/FT9rSGmmTZ #TakeTheOath</t>
  </si>
  <si>
    <t>Love my boy, dogs &amp; country. I hope to live an honorable life &amp; someday be remembered as an ardent follower of my Lord, Jesus Christ. Pray for Awakening #MAGA</t>
  </si>
  <si>
    <t>That NY Cackling Conservative sings too! #WWG1WGA Mon-Fri scope-6pm est-https://t.co/JOl4gny43i kbq225 https://t.co/yW2Zbn3WOa</t>
  </si>
  <si>
    <t>Unrelenting in pursuit.   
Nurse, Army Military Police and NBC NCO. Gulf War.</t>
  </si>
  <si>
    <t>1/7からポケモンgo始めました。
ポケモンGOやりすぎて東方書籍買い忘れる始末。いっつも忘れてしまう
EXミュウツー163／168 EXデオキシス16/17</t>
  </si>
  <si>
    <t>えべちゅん←ウサパラ←ピカゾー←いわみ←みんと←モモちん</t>
  </si>
  <si>
    <t>ポケストップがある場所</t>
  </si>
  <si>
    <t>Japan 石川</t>
  </si>
  <si>
    <t>ブイィィィヽ(ﾟ∀｡)ﾉ</t>
  </si>
  <si>
    <t>Blackwood, NJ</t>
  </si>
  <si>
    <t>Sparks, Nevada</t>
  </si>
  <si>
    <t>San Jose, CA</t>
  </si>
  <si>
    <t>Ontario, Canada</t>
  </si>
  <si>
    <t>Herzberg am Harz</t>
  </si>
  <si>
    <t>約束の地</t>
  </si>
  <si>
    <t>マザー牧場</t>
  </si>
  <si>
    <t>JAPAN WAKAYAMAの北の方</t>
  </si>
  <si>
    <t>León, Guanajuato</t>
  </si>
  <si>
    <t>San Francisco</t>
  </si>
  <si>
    <t>San Francisco, CA</t>
  </si>
  <si>
    <t>日本</t>
  </si>
  <si>
    <t>愛媛県　南予地方</t>
  </si>
  <si>
    <t>東京の下町</t>
  </si>
  <si>
    <t>福井 福井市</t>
  </si>
  <si>
    <t>広島 呉市</t>
  </si>
  <si>
    <t>Chicago, IL</t>
  </si>
  <si>
    <t>São Paulo, Brasil</t>
  </si>
  <si>
    <t>Smallville</t>
  </si>
  <si>
    <t>Lagos, Nigeria</t>
  </si>
  <si>
    <t>México y CDMX</t>
  </si>
  <si>
    <t>Colorado, USA</t>
  </si>
  <si>
    <t>Worldwide</t>
  </si>
  <si>
    <t>愛媛 今治市</t>
  </si>
  <si>
    <t>Rio de Janeiro - Brasil</t>
  </si>
  <si>
    <t>岡山の海が見えるところ/Azusa/Code:T19105</t>
  </si>
  <si>
    <t>United States</t>
  </si>
  <si>
    <t>London Ontario Canada</t>
  </si>
  <si>
    <t>England, United Kingdom</t>
  </si>
  <si>
    <t>ホウエン地方</t>
  </si>
  <si>
    <t>Mazarrón, España</t>
  </si>
  <si>
    <t>one room🔑</t>
  </si>
  <si>
    <t>france</t>
  </si>
  <si>
    <t>Standon, Staffordshire, UK.</t>
  </si>
  <si>
    <t>Manchester, England</t>
  </si>
  <si>
    <t>NANTWICH</t>
  </si>
  <si>
    <t>Manchester; Liverpool &amp; London</t>
  </si>
  <si>
    <t>東京都23区</t>
  </si>
  <si>
    <t>大阪</t>
  </si>
  <si>
    <t>Nashville, TN</t>
  </si>
  <si>
    <t>New Jersey</t>
  </si>
  <si>
    <t>Mexico</t>
  </si>
  <si>
    <t>Planet Earth</t>
  </si>
  <si>
    <t>Texas, USA</t>
  </si>
  <si>
    <t>Lima, Peru</t>
  </si>
  <si>
    <t>Indiana, USA</t>
  </si>
  <si>
    <t>レンコン畑のほとり</t>
  </si>
  <si>
    <t>Piemonte, Italia</t>
  </si>
  <si>
    <t>Italy</t>
  </si>
  <si>
    <t>ｷｬｼﾜの森(アヒョ教神都)</t>
  </si>
  <si>
    <t>神奈川</t>
  </si>
  <si>
    <t>Southern Yokohama or around</t>
  </si>
  <si>
    <t>Panam</t>
  </si>
  <si>
    <t>日本 東京</t>
  </si>
  <si>
    <t>鹿児島県薩摩川内</t>
  </si>
  <si>
    <t>Belton, MO</t>
  </si>
  <si>
    <t>Bolton, Lancashire, UK</t>
  </si>
  <si>
    <t>Scotland, United Kingdom</t>
  </si>
  <si>
    <t>Edinburgh</t>
  </si>
  <si>
    <t>釧路</t>
  </si>
  <si>
    <t>カントー地方、他</t>
  </si>
  <si>
    <t>一級河川 遠賀川水系</t>
  </si>
  <si>
    <t>日本 千葉県／Chiba prefecture, Japan</t>
  </si>
  <si>
    <t>Guildford, Surrey</t>
  </si>
  <si>
    <t>山形県庄内地方</t>
  </si>
  <si>
    <t>Artistron</t>
  </si>
  <si>
    <t>Lakewood, OH</t>
  </si>
  <si>
    <t>神奈川県 横浜 江ノ島</t>
  </si>
  <si>
    <t>岡山県</t>
  </si>
  <si>
    <t>兵庫 神戸市 東灘区</t>
  </si>
  <si>
    <t>Sankt Gallen, Schweiz</t>
  </si>
  <si>
    <t>miyagi pref.Japan</t>
  </si>
  <si>
    <t>日本 徳島</t>
  </si>
  <si>
    <t>UK</t>
  </si>
  <si>
    <t>Upton, Wirral, England</t>
  </si>
  <si>
    <t>Tama city, TOKYO</t>
  </si>
  <si>
    <t>味噌県</t>
  </si>
  <si>
    <t>⚠改造、バグ利用、RMT関与の方とはお取引出来ません⚠</t>
  </si>
  <si>
    <t>japan🇯🇵</t>
  </si>
  <si>
    <t xml:space="preserve">Fort Myers, FL </t>
  </si>
  <si>
    <t>山陽道の真ん中辺り</t>
  </si>
  <si>
    <t>Philly, natch</t>
  </si>
  <si>
    <t xml:space="preserve">Northshore </t>
  </si>
  <si>
    <t>Relative to what?</t>
  </si>
  <si>
    <t>Germantown, MD</t>
  </si>
  <si>
    <t xml:space="preserve">Copenhagen, Denmark
</t>
  </si>
  <si>
    <t>Louisville, KY USA</t>
  </si>
  <si>
    <t>louisville, ky</t>
  </si>
  <si>
    <t>ΜΟΛΩΝ ΛΑΒΕ</t>
  </si>
  <si>
    <t>USA</t>
  </si>
  <si>
    <t>Tennessee, USA</t>
  </si>
  <si>
    <t>Las Vegas, NV</t>
  </si>
  <si>
    <t>PA01-ALPHA-12</t>
  </si>
  <si>
    <t>新白河</t>
  </si>
  <si>
    <t>日本 石川</t>
  </si>
  <si>
    <t>AS16-SIERRA-11</t>
  </si>
  <si>
    <t>カンナギタウン</t>
  </si>
  <si>
    <t>ポケットモンスター</t>
  </si>
  <si>
    <t>京都→いわき→京都</t>
  </si>
  <si>
    <t>気球の中</t>
  </si>
  <si>
    <t>カントー地方の密室</t>
  </si>
  <si>
    <t>福岡 北九州市 八幡西区</t>
  </si>
  <si>
    <t>🇺🇸</t>
  </si>
  <si>
    <t>Astoria, OR</t>
  </si>
  <si>
    <t>Los Angeles, CA</t>
  </si>
  <si>
    <t>New York</t>
  </si>
  <si>
    <t>日本 東京全域 横浜少々 目黒川 世田谷&amp;駒沢&amp;代々木公園⛲</t>
  </si>
  <si>
    <t>福島県白河市</t>
  </si>
  <si>
    <t>大崎耕土</t>
  </si>
  <si>
    <t>サイタマディビジョン</t>
  </si>
  <si>
    <t>uk</t>
  </si>
  <si>
    <t>Floripa</t>
  </si>
  <si>
    <t>Johannesburg, South Africa</t>
  </si>
  <si>
    <t>South Africa</t>
  </si>
  <si>
    <t>Sarasota, FL</t>
  </si>
  <si>
    <t>岩手県</t>
  </si>
  <si>
    <t>Arizona, USA</t>
  </si>
  <si>
    <t>ひきこもり同盟</t>
  </si>
  <si>
    <t>St Louis</t>
  </si>
  <si>
    <t>London</t>
  </si>
  <si>
    <t xml:space="preserve">Nashville ,Tennessee </t>
  </si>
  <si>
    <t>Shangri-La</t>
  </si>
  <si>
    <t>Loughborough, UK</t>
  </si>
  <si>
    <t>トーホク地方の山の中🐻🦌🦊</t>
  </si>
  <si>
    <t xml:space="preserve">OCCUPIED AMERICA </t>
  </si>
  <si>
    <t>Valle de Los perros</t>
  </si>
  <si>
    <t>South Florida</t>
  </si>
  <si>
    <t>$eattle, WA</t>
  </si>
  <si>
    <t>Galveston County, Rep of TX</t>
  </si>
  <si>
    <t>Heart&amp;Mind</t>
  </si>
  <si>
    <t>Africa</t>
  </si>
  <si>
    <t>Mostly LA</t>
  </si>
  <si>
    <t>Portland, OR</t>
  </si>
  <si>
    <t>LONG BEACH • CALIFORNIA</t>
  </si>
  <si>
    <t>WE’RE NOT IN HAWKINS ANYMORE</t>
  </si>
  <si>
    <t>California, USA</t>
  </si>
  <si>
    <t>四国のみち</t>
  </si>
  <si>
    <t>Canada</t>
  </si>
  <si>
    <t>東京都千代田区</t>
  </si>
  <si>
    <t>Wolfville, Nova Scotia</t>
  </si>
  <si>
    <t>Union City, California</t>
  </si>
  <si>
    <t>Snellville, GA</t>
  </si>
  <si>
    <t xml:space="preserve">TH1RT33N </t>
  </si>
  <si>
    <t>San Marcos, CA USA</t>
  </si>
  <si>
    <t>Kentucky, USA</t>
  </si>
  <si>
    <t>Commie-fornia, USA</t>
  </si>
  <si>
    <t xml:space="preserve">NJ , AZ </t>
  </si>
  <si>
    <t>🇨🇭</t>
  </si>
  <si>
    <t>MAGA Country</t>
  </si>
  <si>
    <t>埼玉県</t>
  </si>
  <si>
    <t>日本　Japan</t>
  </si>
  <si>
    <t>Land of Enchantment</t>
  </si>
  <si>
    <t>👿NY👿</t>
  </si>
  <si>
    <t>Muckraker at TruePundit.com</t>
  </si>
  <si>
    <t>Oklahoma, USA</t>
  </si>
  <si>
    <t>Non-affiliate @rea...</t>
  </si>
  <si>
    <t>United States of America</t>
  </si>
  <si>
    <t>Ottawa Canada</t>
  </si>
  <si>
    <t>ShitCity, NorCal</t>
  </si>
  <si>
    <t>Eagle, Idaho</t>
  </si>
  <si>
    <t>Washington, DC</t>
  </si>
  <si>
    <t>Pennsylvania, USA</t>
  </si>
  <si>
    <t>Tequesta, FL</t>
  </si>
  <si>
    <t>ÜT: 10.498712,-66.866215</t>
  </si>
  <si>
    <t>Florida, USA</t>
  </si>
  <si>
    <t>Ohio, USA</t>
  </si>
  <si>
    <t xml:space="preserve">日本 宮城 </t>
  </si>
  <si>
    <t>भारत</t>
  </si>
  <si>
    <t>Holladay, UT</t>
  </si>
  <si>
    <t>Steamboat Springs</t>
  </si>
  <si>
    <t>Open Twitter Page for This Person</t>
  </si>
  <si>
    <t>wayfarerperolas
Placa de carro, telefone do estabelecimento,
marca d água com nome do jogador,
emojis e nome do jogador em título
da solicitação é tudo proibido,
neguem tudo isso aí. Objetos móveis
e sazonais também não pode. #PokemonGO
#Wayfarer #niantic https://t.co/JSn7tUzI9t</t>
  </si>
  <si>
    <t>melanchoric4149
残念賞 なんで確認してから申請しないかなー #wayfarer
#ポケストップ　#審査 https://t.co/1JtAsQTgFu</t>
  </si>
  <si>
    <t>nyaoooosan
世界崩壊してから、地元のポケストップが2つの大きなセルでそれぞれ15個づつになりました。
が、ここから先がしんどいですね。20個でジム2つ目はさすがにきつい、緩和希望。。。
#ポケモンGO #Wayfarer</t>
  </si>
  <si>
    <t>pik3po
う〜〜〜〜〜ん、too close！！！ 申請時生えてなかった奴と近すぎたみたい
#Wayfarer https://t.co/PjDcYUQ9x2</t>
  </si>
  <si>
    <t>kagura2718
一応タグつけとこう #wayfarer</t>
  </si>
  <si>
    <t>0218_blue_sky
ど地元のお寺承認〜(*ﾟ▽ﾟ)ﾉ 月曜日あたり生えるかな〜？
#Wayfarer https://t.co/0Yh1CLoOIO
https://t.co/x2tjIDOqHd</t>
  </si>
  <si>
    <t>har067014
This incredible 1952 Dodge Wayfarer
has just over 4,000 miles on it
and was purchased by Tom Barrett
of Barrett-Jackson in 1976 with
just 3 miles on it. The seller
is asking $18,500 for this time
capsule. Thoughts? -&amp;gt; https://t.co/XfRvmtcncV
#Dodge #Wayfarer https://t.co/1Y5pHrSSWu</t>
  </si>
  <si>
    <t>barnfinds
This incredible 1952 Dodge Wayfarer
has just over 4,000 miles on it
and was purchased by Tom Barrett
of Barrett-Jackson in 1976 with
just 3 miles on it. The seller
is asking $18,500 for this time
capsule. Thoughts? -&amp;gt; https://t.co/XfRvmtcncV
#Dodge #Wayfarer https://t.co/1Y5pHrSSWu</t>
  </si>
  <si>
    <t>capttere
This incredible 1952 Dodge Wayfarer
has just over 4,000 miles on it
and was purchased by Tom Barrett
of Barrett-Jackson in 1976 with
just 3 miles on it. The seller
is asking $18,500 for this time
capsule. Thoughts? -&amp;gt; https://t.co/XfRvmtcncV
#Dodge #Wayfarer https://t.co/1Y5pHrSSWu</t>
  </si>
  <si>
    <t>pimp_shredder
This incredible 1952 Dodge Wayfarer
has just over 4,000 miles on it
and was purchased by Tom Barrett
of Barrett-Jackson in 1976 with
just 3 miles on it. The seller
is asking $18,500 for this time
capsule. Thoughts? -&amp;gt; https://t.co/XfRvmtcncV
#Dodge #Wayfarer https://t.co/1Y5pHrSSWu</t>
  </si>
  <si>
    <t>mimipokemon1
自分で作ったポケストップようやく回せた！ #wayfarer
https://t.co/LCyHzw0GAe</t>
  </si>
  <si>
    <t>harrytr02640104
This incredible 1952 Dodge Wayfarer
has just over 4,000 miles on it
and was purchased by Tom Barrett
of Barrett-Jackson in 1976 with
just 3 miles on it. The seller
is asking $18,500 for this time
capsule. Thoughts? -&amp;gt; https://t.co/XfRvmtcncV
#Dodge #Wayfarer https://t.co/1Y5pHrSSWu</t>
  </si>
  <si>
    <t>bdcc340sb
This incredible 1952 Dodge Wayfarer
has just over 4,000 miles on it
and was purchased by Tom Barrett
of Barrett-Jackson in 1976 with
just 3 miles on it. The seller
is asking $18,500 for this time
capsule. Thoughts? -&amp;gt; https://t.co/XfRvmtcncV
#Dodge #Wayfarer https://t.co/1Y5pHrSSWu</t>
  </si>
  <si>
    <t>borisgonschorek
#Wayfarer #Pogo #Ingress https://t.co/iAKTpmIYXX</t>
  </si>
  <si>
    <t>gurumwu
久々にポケスト申請した。 クパンの自分ち周辺ばかり申請してたけど、居ることが多い仕事場周りも充実させようと、まずは鉄板の宗教施設と村の教会に、その前のサッカー場申請してみた。
#Wayfarer https://t.co/PwZ3JpmADM</t>
  </si>
  <si>
    <t>hams1156
・「刈り込みが動物の形のアート」という垣根 ・日本にも海外にもあるチェーンレストランのマークの一部
これらがポケストになっていて自分の審査基準がぐらぐらよ。初めてのおでかけ先は悩ましいの。
#Wayfarer #ポケストップ申請</t>
  </si>
  <si>
    <t>nebapuri
Wayfarerメダルが金に🏅 ちょこちょこと審査を頑張りました✨
申請は承認いただけたのが7つ。 6つはポケストップが立ち、1つは隣と20m以内だったようでIngressのポータルにもならず💦
審査も申請も悩みながらですが楽しくやってます😊 #ポケモンGO
#pokemonGO #Wayfarer #おうちでポケモンGO
https://t.co/vdbFfyTkKb</t>
  </si>
  <si>
    <t>gusra69
#Wayfarer Cuando aparecerán estas
3 pokestop aprobadas, tienen varios
meses de aprobación y aun nada
@NianticLabs @NianticHelp https://t.co/9F4rNWaK8z</t>
  </si>
  <si>
    <t xml:space="preserve">nianticlabs
</t>
  </si>
  <si>
    <t xml:space="preserve">niantichelp
</t>
  </si>
  <si>
    <t>funkrollin_enl
私が生やしたポータルが800に達したので御報告いたします。 引き続き精進してまいります。
#ポータル申請 #Wayfarer https://t.co/TD69aO28Df</t>
  </si>
  <si>
    <t>polecatgo
6/1に申請したやつが未だに待機中なのに、6/22に申請したやつが承認された…
過疎地のほうが早いのは本当なんだなぁ… #Wayfarer</t>
  </si>
  <si>
    <t>yossie0007
せめてingress からでもポケモン勢の申請者わかるようになればなぁ😞
#Wayfarer https://t.co/rDWCN1X4dT</t>
  </si>
  <si>
    <t>kestrelman0122
懲役プール！？ #Wayfarer https://t.co/YdaorBmreL</t>
  </si>
  <si>
    <t>leon30006310
◆張り紙で名称が書かれた集会所について 申請画像で扉に「〇〇集会所」とマジックで書かれたＡ４大の紙が貼られる集会所が申請されました。ストビューに張り紙はなく、よくある地名のせいか検索でもヒットしません。張り紙以外に集会所を示すものが他にない場合、どう評価しますか？
#Wayfarer</t>
  </si>
  <si>
    <t>sinxsan
◆幼稚園に隣接する教会について 団地内にある教会が申請されました。隣に広場らしきものが見えるので確認すると、建物は別ですが、隣の位置に幼稚園がある（教会横に階段があり、幼稚園の校庭に下りれる）ことがわかりました。伝統的な教会ですとありました。どう評価しますか？
#Wayfarer</t>
  </si>
  <si>
    <t>carolsierra12
So i surprised my love with a pair
of #Rayban #Wayfarer shades and
he loved it ❤️🥰 #classicLook 😎</t>
  </si>
  <si>
    <t>_lipematheus
q? 😂😂😂 #wayfarer #nianticwayfarer
https://t.co/QInuDaPY1j</t>
  </si>
  <si>
    <t>xrazorx2
Just hit #Wayfarer! We out here
Gaming! Destiny 2 https://t.co/UXBypXcgpZ
#streamers #SmallStreamersConnect
#twitch #twitchstreamer #supstreamer
#smallstreamers #twitchaffiliate
#gfuel #teamgamma #Retweet_Twitch
#SmallStreamerCommunity #RSG_Retweets
@SmallStreamersC</t>
  </si>
  <si>
    <t xml:space="preserve">smallstreamersc
</t>
  </si>
  <si>
    <t>smallstreamersr
Just hit #Wayfarer! We out here
Gaming! Destiny 2 https://t.co/UXBypXcgpZ
#streamers #SmallStreamersConnect
#twitch #twitchstreamer #supstreamer
#smallstreamers #twitchaffiliate
#gfuel #teamgamma #Retweet_Twitch
#SmallStreamerCommunity #RSG_Retweets
@SmallStreamersC</t>
  </si>
  <si>
    <t>houseoflunettes
Don't tell me NOTHING! Authentic
Ray-Ban Sunnies can never be replaced
with Fakes. Shop the Authentic
Ray-Ban 2140 Wayfarer starting
at N105,500 #houseoflunettes #rayban
#wayfarer #sunglasses #authentic
#mensfashion… https://t.co/Tt35PBbuMP</t>
  </si>
  <si>
    <t>anuoluw5
Don't tell me NOTHING! Authentic
Ray-Ban Sunnies can never be replaced
with Fakes. Shop the Authentic
Ray-Ban 2140 Wayfarer starting
at N105,500 #houseoflunettes #rayban
#wayfarer #sunglasses #authentic
#mensfashion… https://t.co/Tt35PBbuMP</t>
  </si>
  <si>
    <t>kokyona
ストビューに映ってない このサイズでライトアップ ロウソクが綺麗なのに不自然に並んだゴミだらけ
不自然なヘビで隠した台座が工事用基礎ブロック 背面がコンパネ
そもそも縁石のカーブが違う ここまでやっておいて偽シロデスナと偽ペルシアンと偽名探偵ピカチュウ
#Wayfarer https://t.co/eGXmT6hoTj</t>
  </si>
  <si>
    <t>jc_salazar
Cómo van entrenadores nivel 38,
39 y 40 con sus valoraciones, ya
casi terminamos de poblar, con
pokestop, nuestras localidades?
#PokemonGO #Wayfarer https://t.co/Fde3DI8jaB</t>
  </si>
  <si>
    <t>brandulinks
Wayfarious .com is a fun, adventurous
name based on #wayfarer for a lively
#travel related business or #app
- #Tourism #TravelTips #Destinations
#JeepTours #Cruise Get it now @Squadhelp
#BrandingTips #Wayfarious https://t.co/MLcltH8Aw2</t>
  </si>
  <si>
    <t xml:space="preserve">squadhelp
</t>
  </si>
  <si>
    <t>yooousango
#Wayfarer 今治にもこんなアウトの投稿する人るのかー！
https://t.co/fCK6hLjrdZ</t>
  </si>
  <si>
    <t>britnoo
...E cada um tem o meu lado que
merece! 🦀💋💜 . . . #ootd #fashion
#tshirt #purple #jeans #blue #allstar
#shoes #converse #red #blonde #wayfarer
#sunglasses #urban #style em Niterói,
Rio de Janeiro, Brazil https://t.co/i0RsDoIbNI</t>
  </si>
  <si>
    <t>watchezmenz
...E cada um tem o meu lado que
merece! 🦀💋💜 . . . #ootd #fashion
#tshirt #purple #jeans #blue #allstar
#shoes #converse #red #blonde #wayfarer
#sunglasses #urban #style em Niterói,
Rio de Janeiro, Brazil https://t.co/i0RsDoIbNI</t>
  </si>
  <si>
    <t>railway_fox
◆消火栓の真横にある祠について 旧街道沿いに置かれる祠が申請されました。申請画像には真横に「消火栓」という赤い看板と、消火栓が見えました。祠そのものは年代が感じられるものの手入れはされているようで、地域の人に大事にされているようです。どう評価しますか？
#Wayfarer</t>
  </si>
  <si>
    <t>magi_touhou298
Wayfarer有識者に聞きたいんですけど申請して承認されたスポットが距離の関係でイングレスのポータルにすらならなかった時ってウェイスポットとしての記録すら残らないんですか？　
#Wayfarer #Wayspot</t>
  </si>
  <si>
    <t>twitrpartner
#etsyshop #Bolle #Sunglasses #Retro
#Vintage #Snowboard #Ski #Skiing
#Wayfarer #90s #BolleIrex #Designer
#red https://t.co/zkg1FWKl8D https://t.co/5FICJK3UrX</t>
  </si>
  <si>
    <t>lyndilane
#etsyshop #Bolle #Sunglasses #Retro
#Vintage #Snowboard #Ski #Skiing
#Wayfarer #90s #BolleIrex #Designer
#red https://t.co/zkg1FWKl8D https://t.co/5FICJK3UrX</t>
  </si>
  <si>
    <t>marilou858
#etsyshop #Bolle #Sunglasses #Retro
#Vintage #Snowboard #Ski #Skiing
#Wayfarer #90s #BolleIrex #Designer
#red https://t.co/zkg1FWKl8D https://t.co/5FICJK3UrX</t>
  </si>
  <si>
    <t>suzu373737
#wayfarer #ingress #ポケモンgo #魔法同盟
Wayfarerはないのかい‼️ https://t.co/RfgNGjdRbM</t>
  </si>
  <si>
    <t>raymarines
@tos これで限界地域とか舐めてんのか しかも重複だし #wayfarer
https://t.co/hc73G5jLZU</t>
  </si>
  <si>
    <t>elgranuja84
#Wayfarer es una puta mierda, nos
dejan votar paradas en #pokemonGo
y podemos votar lo que nosotros
(nuestra opinión) para que pueda
salir en el juego o en ingress,
pero si no votas lo que Niantic
quiere te bloquean 24h sin poder
votar, pues mira para eso votar
vosotros y listo</t>
  </si>
  <si>
    <t>o0e_k0o
ラブホ入り口のライオンがスポットになってた🤣 天王寺のこちらといい、、ギフト送るのも気が引ける🥴確か枚方にもあったけな、ジムが🏩
#ポケモンGO #Wayfarer #NianticWayfarer
https://t.co/nFuoSps98D</t>
  </si>
  <si>
    <t>katopsingress
https://t.co/2HAnEJR0eR 児童養護施設はK-12に含まれますので承認できませんし、施設用地の塀や壁、生垣などに接している物体も同様に承認してはいけないことになってます。
#Wayfarer</t>
  </si>
  <si>
    <t>pollinisation
Swarm at the pub, #Wayfarer They
were very obedient and went straight
in. Apparently they had been hanging
under the railing to the decking
since Friday. Foragers were returning
dusted with Himalayan balsam. They
have a nice new home now. #beekeepershour
https://t.co/E3TO7SwE8a</t>
  </si>
  <si>
    <t>beesstandon
Swarm at the pub, #Wayfarer They
were very obedient and went straight
in. Apparently they had been hanging
under the railing to the decking
since Friday. Foragers were returning
dusted with Himalayan balsam. They
have a nice new home now. #beekeepershour
https://t.co/E3TO7SwE8a</t>
  </si>
  <si>
    <t>northroadcycles
@NorthRoadCycles @LlangollenTIC
@ChatwinsBakery You have to ride
the #Wayfarer .... Walter MacGregor
Robinson - the pioneer of ‘Rough
Stuff Cycling’ https://t.co/ytJM6OPMcz</t>
  </si>
  <si>
    <t xml:space="preserve">chatwinsbakery
</t>
  </si>
  <si>
    <t>peteswiftysan
The #routemaster #BirthdayBikepacking
#Wayfarer https://t.co/GPIXcuQAUk</t>
  </si>
  <si>
    <t xml:space="preserve">llangollentic
</t>
  </si>
  <si>
    <t>tucentrooptico
#rayban #wayfarer #optica #majadahonda
#tucentrooptico #venyveras #gafas
#gafasdesol #gafasdemarca en Tucentrooptico
https://t.co/OuRwEcvAYS</t>
  </si>
  <si>
    <t>tot0mad
#wayfarer AMA！ https://t.co/2ccAANr9zf</t>
  </si>
  <si>
    <t>to1027me
#wayfarer AMA！ https://t.co/2ccAANr9zf</t>
  </si>
  <si>
    <t>fightwood1
#wayfarer AMA！ https://t.co/2ccAANr9zf</t>
  </si>
  <si>
    <t>mothatude
We had so much fun during our first
Twitch Wayfarer Reviewing Party
we are gonna do it again. The date
is July 15th! Help us pick the
time! You never know, maybe @PeloPoGO
and @PokeProfNet will show up again.
#pokemongo #g2g #wayfarer #twitch</t>
  </si>
  <si>
    <t xml:space="preserve">pokeprofnet
</t>
  </si>
  <si>
    <t>pelopogo
We had so much fun during our first
Twitch Wayfarer Reviewing Party
we are gonna do it again. The date
is July 15th! Help us pick the
time! You never know, maybe @PeloPoGO
and @PokeProfNet will show up again.
#pokemongo #g2g #wayfarer #twitch</t>
  </si>
  <si>
    <t>g2g_med1a
We had so much fun during our first
Twitch Wayfarer Reviewing Party
we are gonna do it again. The date
is July 15th! Help us pick the
time! You never know, maybe @PeloPoGO
and @PokeProfNet will show up again.
#pokemongo #g2g #wayfarer #twitch</t>
  </si>
  <si>
    <t>pogo_pac
We had so much fun during our first
Twitch Wayfarer Reviewing Party
we are gonna do it again. The date
is July 15th! Help us pick the
time! You never know, maybe @PeloPoGO
and @PokeProfNet will show up again.
#pokemongo #g2g #wayfarer #twitch</t>
  </si>
  <si>
    <t>legendslima
We had so much fun during our first
Twitch Wayfarer Reviewing Party
we are gonna do it again. The date
is July 15th! Help us pick the
time! You never know, maybe @PeloPoGO
and @PokeProfNet will show up again.
#pokemongo #g2g #wayfarer #twitch</t>
  </si>
  <si>
    <t>gobarreras
We had so much fun during our first
Twitch Wayfarer Reviewing Party
we are gonna do it again. The date
is July 15th! Help us pick the
time! You never know, maybe @PeloPoGO
and @PokeProfNet will show up again.
#pokemongo #g2g #wayfarer #twitch</t>
  </si>
  <si>
    <t>arhyxz
We had so much fun during our first
Twitch Wayfarer Reviewing Party
we are gonna do it again. The date
is July 15th! Help us pick the
time! You never know, maybe @PeloPoGO
and @PokeProfNet will show up again.
#pokemongo #g2g #wayfarer #twitch</t>
  </si>
  <si>
    <t>jeffreyb777
Chesapeake Bay #Virginia #sunset
I am so lucky to be able to do
#photography all over the #world
#photoshop #写真 #写真で伝えたい私の世界 #旅行
#アメリカ #放浪癖 #日没 #写真撮影 #世界 #wanderlust
#wayfarer https://t.co/7IsKosy9tW</t>
  </si>
  <si>
    <t>tokiwailm
「マムシに注意！」の看板。 安全なアクセスって、安全じゃないよな？？
★☆☆☆☆じゃないのか…？ #wayfarer</t>
  </si>
  <si>
    <t>robygates95
WAYFARER: in studio per il nuovo
album #WAYFARER - https://t.co/XMOoQTSyin
https://t.co/OA8dib6Q6s</t>
  </si>
  <si>
    <t>metalitalia
WAYFARER: in studio per il nuovo
album #WAYFARER - https://t.co/XMOoQTSyin
https://t.co/OA8dib6Q6s</t>
  </si>
  <si>
    <t>riccardoventi10
WAYFARER: in studio per il nuovo
album #WAYFARER - https://t.co/XMOoQTSyin
https://t.co/OA8dib6Q6s</t>
  </si>
  <si>
    <t>snow_daifukuya
ポケスト承認されたので確認しに来たらジムできてた‼️ なぜジム❓
#ポケモンGO #Wayfarer https://t.co/0JUA28h2ty</t>
  </si>
  <si>
    <t>kameron_136
#Wayfarer 審査を最近サボっていて、アプグレも得られていなかったので、久しぶりのWayspot承認です。品川区｢五反田南公園｣、ありがとうございます"(ﾉ*&amp;gt;∀&amp;lt;)ﾉ
多分、山手線の車内からレンジインすると思うし、山手線の速さならデプロイハックできるんじゃないかな。
https://t.co/Zbm4gzTj9p https://t.co/xcwZxg2gBH</t>
  </si>
  <si>
    <t>puchiyawa
@nikudaisuki7 さすありですー♪ 初めてストビューアプリ360°写真に挑戦してみました！
無事に水準点2つとも生えて良かったです。 タイルは残念でした、私も千頭橋と山崎橋で落とされたことがあります。
市の花さつき(アザレア)と市の木かえで(メイプル)は鮎に比べて審査員の人に人気が無いのかもですね😞
#Wayfarer https://t.co/ZHh7EGJc6T</t>
  </si>
  <si>
    <t xml:space="preserve">nikudaisuki7
</t>
  </si>
  <si>
    <t>akiyoshi_kamide
あああああっ！ これ、こないだ #Wayfarer の審査に出てきたことある！！位置が微妙だったので調整した記憶も…
誰かが申請してパスしたようだ！ 審査画面に出てきた初の港南台のWayspotでした！！
https://t.co/U2kISa1Xno</t>
  </si>
  <si>
    <t>maybeflush
Tellement mal aux yeux que je code
avec mes #wayfarer sur le nez.
https://t.co/umdiDZ2ZF7</t>
  </si>
  <si>
    <t>asner_enl
WayfarerについてのAMAを開催 #AMA #Wayfarer
#ingress https://t.co/D7JlTUNzzF</t>
  </si>
  <si>
    <t>enltodayjapan
WayfarerについてのAMAを開催 #AMA #Wayfarer
#ingress https://t.co/D7JlTUNzzF</t>
  </si>
  <si>
    <t>yasubox
WayfarerについてのAMAを開催 #AMA #Wayfarer
#ingress https://t.co/D7JlTUNzzF</t>
  </si>
  <si>
    <t>hackyugioh
WayfarerについてのAMAを開催 #AMA #Wayfarer
#ingress https://t.co/D7JlTUNzzF</t>
  </si>
  <si>
    <t>rikumaru_suisan
十四個目のポケストップができました！ #wayfarer https://t.co/SIpAC0KdSx</t>
  </si>
  <si>
    <t>gnk_poke5
編集してたら候補から忽然と消えた申請、約1ヶ月経った今日帰ってきた！コミュニティでの運営の「待ってて」的なレス信じて待ってた。良かったー。審査再開してアプグレ当てよ。　#wayfarer</t>
  </si>
  <si>
    <t>pokemon_fumi
このような承認基準がありますか？ #Wayfarer #nianticwayfarer
https://t.co/CF8JhB0WOA</t>
  </si>
  <si>
    <t>transwestttrv
Congratulations to the Klingerman's
on your 2020 Tiffin Wayfarer 25LW.
We wish you many grand and glorious
adventures. #Tiffin #Wayfarer #NewRV
#Adventure #RoadTrip #Vacation
#FamilyFun #Journey #TranswestTruckTrailerRV
https://t.co/aOpfi1T6gf</t>
  </si>
  <si>
    <t>bchrisspinks
Drinking #Wayfarer (can from ⁦@Flavourly⁩)
by ⁦@AtlasBrewing⁩ at home https://t.co/XZMBDrFVjH</t>
  </si>
  <si>
    <t xml:space="preserve">atlasbrewing
</t>
  </si>
  <si>
    <t xml:space="preserve">flavourly
</t>
  </si>
  <si>
    <t>ddsk_ckrn
スポンサーのポケストップを含めたジムの昇格、以前は反映されるまで時間がかかったけど
今回は新しいポケストップができてすぐジムになった！ #wayfarer</t>
  </si>
  <si>
    <t>nharl_the_mage
GBLに興味はあるけど優先順位が低いだけだと思っていたが 家でゆっくり過ごしているときの優先順位が
ポケモン整理＞ジムのポケモンにえさやり＞Wayfarer審査＞GBL
なので、いつそのときが来るかわからない。 #ポケモンGO #Wayfarer
#GOバトルリーグ</t>
  </si>
  <si>
    <t>tajurina
ポケスト100ヶ所目できてました🎉 実は身内と縁のあるスポット。
良い記念になりました。 #wayfarer #ポケモンGO https://t.co/YARw0kRbIS</t>
  </si>
  <si>
    <t>lssenterprise
こんなのはじめてだ #Wayfarer #認証可否 #どっちだよ
#ingress #multi_account #multi_user
#atwiki #COMMandMORE https://t.co/pPQI7lrIl2</t>
  </si>
  <si>
    <t>menbei_oishii
それから看板はストビュー上では既存のwayspotのすぐ隣にあるから承認されても近すぎてポケストどころかwayspotにもならない…
知ってる場所、ものだけにすごく悔やまれる #Wayfarer</t>
  </si>
  <si>
    <t>ruindig
WayfarerについてのAMAを開催 #AMA #Wayfarer
#ingress https://t.co/D7JlTUNzzF</t>
  </si>
  <si>
    <t>navalin1
一回レッドゾーンになって再検査受けたり、いきなり評価上がったりと、この評価の目安ってなんでしょうね？#wayfarer
https://t.co/HLppOkol8e</t>
  </si>
  <si>
    <t>rrby837
ポケモンgoからの申請だと過去撮った写真使えないよね 晴れてくれないと捗らない
もうかなり増やして最近無理があるから歴史調べたりガチャになる案件が多い
早く晴れて☀️ やっと本日認証で53本目 #ポケストップ審査
#ポケストップ申請 #Wayfarer</t>
  </si>
  <si>
    <t>bloceyewear
Hot right now on our website is
#TheRiser, a smooth take on the
classic #wayfarer design, the pop
of bright #colour on the inside
keeps you bang on #trend for all
your outdoor needs. https://t.co/e07n7LlbuC
#sunglasses #newsunnies https://t.co/PMvbkKnEQs</t>
  </si>
  <si>
    <t>shoupokeaka
写真を少し変えたりして 何度も申請しているので 通報してます😁👍
#Wayfarer https://t.co/cc2DElTfqa</t>
  </si>
  <si>
    <t>reartistron
Check out my #humanist #clergy
services https://t.co/5T5ayYf6Qw
#humanism #celebrant #pastoralcare
#pastoralsupport #nonreligious
#traumainformed #love #creativitycoaching
#wonder #wayfarer #secularhumanism
#religioushumanism #existentialism
#buddhism #daosim #artist #art
#crea…</t>
  </si>
  <si>
    <t>hc_mmoor1868
Check out my #humanist #clergy
services https://t.co/5T5ayYf6Qw
#humanism #celebrant #pastoralcare
#pastoralsupport #nonreligious
#traumainformed #love #creativitycoaching
#wonder #wayfarer #secularhumanism
#religioushumanism #existentialism
#buddhism #daosim #artist #art
#crea…</t>
  </si>
  <si>
    <t>otamaimai
これはポケストになって欲しいから 全力で推した⸜(◍⸍▾⸌◍)⸝笑
お堅い申請、厳し過ぎる審査、 ばっかりでつまんない🙃 もっと気楽にポケストになれば
いいのになー そろそろIngressとポケモンGO 分けてもいいのでわ🤗✨
#ポケモンGO #Wayfarer https://t.co/WFhogHfYr3</t>
  </si>
  <si>
    <t>tunopokekru
Wayspot審査をしてる方にお尋ねです。 公民館、集会所の類ですが「これは何ですか？」と求められたとき何を選択されていますか？
私はよくわからなくて「公共スペース」で処理してるんですが… ＃Wayfarer</t>
  </si>
  <si>
    <t>keys_tad
何がダメなだろう。 教えてください詳しいひと(´°̥̥̥̥̥̥̥̥ω°̥̥̥̥̥̥̥̥｀)
写真追加申請を3回否決されてしまいました。 1回目は個人名（鳥居の奉納者）が写っちゃってたしまあ納得。その後切り取ったけどアウト。
他に何が・・わからんよおぉぁぅ(T ^ T) #ingress
#wayfarer https://t.co/FfdQvAwaC6</t>
  </si>
  <si>
    <t>pipoca_nr
Some belgium chocolate I got at
Pierre Marcoloni in #brussels #belgium
. . #localfood #foodpics #foodinstagram
#chocolate #sweet #belgiumchocolate
#dessert #foodie #foodphotography
#foodblogger #wayfarer… https://t.co/uyAqky1Jn7</t>
  </si>
  <si>
    <t>lobeznox5
Parece que la comunidad de pokemon
go no aprende #wayfarer https://t.co/c7A50daVcx</t>
  </si>
  <si>
    <t>almondx43
お店(カフェ)でも、このレベルなら★5つけます🤩 調べたら築１０３年の登録文化財でした😆お店に迷惑かかるとかは一切考慮せず、単純に高評価しました🤗#wayfarer
https://t.co/EV9THWeD7M</t>
  </si>
  <si>
    <t>mino_0916
宮城県の鹿島台から編集はこんなのばかり 画像を橋にすり替えて、タイトルの変更だろう
タイトルで橋、馬頭観音は間違いようがない あとは橋に位置修正をして、馬頭観音を新たに申請するやり方
鹿島台のせいで宮城県が一括りで不正の地と認識されかねない #wayfarer
@niantichelpjp @NianticJP https://t.co/S9XuFikIbb</t>
  </si>
  <si>
    <t>jte3j
ポータルにせよポケストップにせよ、それは場所であってそこに置いてある物じゃ無いからね。
#Wayfarer</t>
  </si>
  <si>
    <t>tera7998
向麻山公園シリーズ、4つ目承認🤩 大量の虫と格闘しながらクルクル撮影した甲斐がありました😆
あと1つ増やせばジム増えるから また探してみよう💪 #wayfarer
https://t.co/27pT2b98g3</t>
  </si>
  <si>
    <t>beekeepershour
Swarm at the pub, #Wayfarer They
were very obedient and went straight
in. Apparently they had been hanging
under the railing to the decking
since Friday. Foragers were returning
dusted with Himalayan balsam. They
have a nice new home now. #beekeepershour
https://t.co/E3TO7SwE8a</t>
  </si>
  <si>
    <t>flourishbees
Swarm at the pub, #Wayfarer They
were very obedient and went straight
in. Apparently they had been hanging
under the railing to the decking
since Friday. Foragers were returning
dusted with Himalayan balsam. They
have a nice new home now. #beekeepershour
https://t.co/E3TO7SwE8a</t>
  </si>
  <si>
    <t>coolportraitgil
クルっと、クルっとな…！！！ψ(｀∇´)ψ #ポケモンGO #ポケストップ申請
#Wayfarer https://t.co/ym4dcyKzxS</t>
  </si>
  <si>
    <t>hot__mikan
これタイトル不備でよく却下されなかったなぁ…最も適切な説明どれって聞かれてるんだけど何かもわかんないのに説明どう選べと…
#wayfarer https://t.co/BoM6jeS12s</t>
  </si>
  <si>
    <t>esquireattire
Sale Good Price! https://t.co/NALUCNu4xV
Ray-Ban Denim #wayfarer #sunglasses
RB2140 Blue https://t.co/cx6ETGqtpQ</t>
  </si>
  <si>
    <t>bo_ku_chan_
最近はアプグレ使ってどんどん承認貰えて嬉しい！自分がポケスト作ったきっかけで狙ったところがジム化出来た💪審査頑張りすぎかな…(笑)
#wayfarer https://t.co/X0rQf4Arpw</t>
  </si>
  <si>
    <t>osumashipokemon
団地の中の公園の承認てしていいのか…？ 団地の中にスマホ持った大人がウロウロしてると怪しいなと思ったらすぐに承認できなくて…
#wayfarer</t>
  </si>
  <si>
    <t>stonedzine
Bob Dylan. #bobdylan #rollingstone
#rayban #wayfarer #smoking https://t.co/bMJTyr1OzW</t>
  </si>
  <si>
    <t>matthewus13
Bob Dylan. #bobdylan #rollingstone
#rayban #wayfarer #smoking https://t.co/bMJTyr1OzW</t>
  </si>
  <si>
    <t>m_liverbird1892
同じ橋が漢字と平仮名でポケストップになってる さらに真ん中付近にあるレリーフらしきものをポケストップ申請している
これって有りなんですかね？ ちゃんと審査してるのか？ ＃wayfarer
＃Niantic https://t.co/YbScKp5QqR</t>
  </si>
  <si>
    <t>whitecrow331
コレに続くポスト、#goodPOI の背景になるスゲーストーリーやな。
#wayfarer #岩手 https://t.co/LYFbfZFRNe</t>
  </si>
  <si>
    <t>godnusa
@amberwb @OldKingCole17 @VABVOX
@Wayfair #pizzagate just recorded
#wwg1wga try harder #Wayfarer https://t.co/IoSGDKTeZa</t>
  </si>
  <si>
    <t xml:space="preserve">wayfair
</t>
  </si>
  <si>
    <t xml:space="preserve">vabvox
</t>
  </si>
  <si>
    <t xml:space="preserve">oldkingcole17
</t>
  </si>
  <si>
    <t>yuckf0u
@amberwb @OldKingCole17 @VABVOX
@Wayfair #pizzagate just recorded
#wwg1wga try harder #Wayfarer https://t.co/IoSGDKTeZa</t>
  </si>
  <si>
    <t xml:space="preserve">amberwb
</t>
  </si>
  <si>
    <t>posi4hope
@amberwb @OldKingCole17 @VABVOX
@Wayfair #pizzagate just recorded
#wwg1wga try harder #Wayfarer https://t.co/IoSGDKTeZa</t>
  </si>
  <si>
    <t>mmthornberg
@NianticHelp how is #Wayfarer rating
calculated? is doing more reviews
a factor? reviews = accepted +
rejected + duplicated?</t>
  </si>
  <si>
    <t>halhubener
#boxing #dog #fight #fightclub
#fighter #fitness #fridayfeeling
#fridayfitness #fridayflow #fridayfun
#fridayoff #jeanclaudevandamme
#johnnycage #kickboxing #martialarts
#mma #mmagloves #mortalcombat #muaythai
#rayban #redsunglasses #tylerdurden
#ufc #venum #venumgloves #wayfarer
https://t.co/g2v0NpjEHz</t>
  </si>
  <si>
    <t>jeanluc_picachu
申請通った！ けどよく見たら誤字発見！ 慌てて編集の申請！ 他にもあったら恥ずかしいから審査入る前に見直しておこう…
よりによって誤字のあるやつだけ審査中！ みんな、審査入りする前に誤字脱字はもう一度チェックしておこう…
#Wayfarer</t>
  </si>
  <si>
    <t>diazed6
#Wayfarer so people really think
kids are being trafficked through
cabinets... the cabinet is a make
shift object, so that the people
who are actually purchasing the
kids know what to buy. People can
say it’s a glitch in prices but
you can’t deny the names of the
cabinets.</t>
  </si>
  <si>
    <t>artxfm
The Wayfarer Way today!! 4-6pm
est at https://t.co/KMkABe5Gpx
or 97.1FM in Louisville. Tune it
for funk, disco, techno, house,
dnb, jungle, etc. today!!!! #wayfair
#wayfarer #tiktokdown #SpotifyDown
#BoycottGoya</t>
  </si>
  <si>
    <t>dj_hunchback_
The Wayfarer Way today!! 4-6pm
est at https://t.co/KMkABe5Gpx
or 97.1FM in Louisville. Tune it
for funk, disco, techno, house,
dnb, jungle, etc. today!!!! #wayfair
#wayfarer #tiktokdown #SpotifyDown
#BoycottGoya</t>
  </si>
  <si>
    <t>solarflightowl
The Wayfarer Way today!! 4-6pm
est at https://t.co/KMkABe5Gpx
or 97.1FM in Louisville. Tune it
for funk, disco, techno, house,
dnb, jungle, etc. today!!!! #wayfair
#wayfarer #tiktokdown #SpotifyDown
#BoycottGoya</t>
  </si>
  <si>
    <t>sandrucci54
I do not believe it. Really. Really.🤬🤬
Fotosfera presente e tutti in ordine
😡😡 #wayfarer https://t.co/qPnpKRjuab</t>
  </si>
  <si>
    <t>haruhibipapa241
レイドのために🚗で10キロ先まで行ってましたが、ついに自宅近くにジムができた‼️
承認してくれた皆様方、本当にありがとうございます🙇 #ポケモンGO
#Wayfarer https://t.co/DDaAdCOdBt</t>
  </si>
  <si>
    <t>horseshort
Anybody else curious about how
unusually fast #Wayfair success
happened? Overnight? #Wayfair could
do that with human trafficking
cash or money laundering cash.
They just materialized out of the
ether, and BAM, advertising all
over the place. #wayfairtrafficking
#Wayfarer https://t.co/RzthlnGRaH</t>
  </si>
  <si>
    <t>cyrusreportgma1
Anybody else curious about how
unusually fast #Wayfair success
happened? Overnight? #Wayfair could
do that with human trafficking
cash or money laundering cash.
They just materialized out of the
ether, and BAM, advertising all
over the place. #wayfairtrafficking
#Wayfarer https://t.co/RzthlnGRaH</t>
  </si>
  <si>
    <t>cecki
Anybody else curious about how
unusually fast #Wayfair success
happened? Overnight? #Wayfair could
do that with human trafficking
cash or money laundering cash.
They just materialized out of the
ether, and BAM, advertising all
over the place. #wayfairtrafficking
#Wayfarer https://t.co/RzthlnGRaH</t>
  </si>
  <si>
    <t>veraangie11
Anybody else curious about how
unusually fast #Wayfair success
happened? Overnight? #Wayfair could
do that with human trafficking
cash or money laundering cash.
They just materialized out of the
ether, and BAM, advertising all
over the place. #wayfairtrafficking
#Wayfarer https://t.co/RzthlnGRaH</t>
  </si>
  <si>
    <t>ko92792
Anybody else curious about how
unusually fast #Wayfair success
happened? Overnight? #Wayfair could
do that with human trafficking
cash or money laundering cash.
They just materialized out of the
ether, and BAM, advertising all
over the place. #wayfairtrafficking
#Wayfarer https://t.co/RzthlnGRaH</t>
  </si>
  <si>
    <t>kinect023
え？ 近いポータルってスポンサー(伊藤園)のポータルしかないんだけど、スポンサーも近いと弾かれるんだっけ？
#Ingress #Wayfarer https://t.co/wXbVrcn7r4</t>
  </si>
  <si>
    <t>mameojaru
NIAさん、南極隊員の娯楽確保のためにポケストップ増やしてあげてくださいw
#wayfarer https://t.co/b79g2sCKR2</t>
  </si>
  <si>
    <t>psoiko2
一里塚の碑の申請なんですが○○へ一里六…の下が読めない。分かる方教えて欲しいです　#wayfarer
https://t.co/76BhGLwFKk</t>
  </si>
  <si>
    <t>hirocos2
蚊に刺されながら申請した候補、承認されました。 ありがとうございます
#ポケモンGO #ingress #Wayfarer https://t.co/1gEsQY73EF</t>
  </si>
  <si>
    <t>hiho_3tafe
一里塚の碑の申請なんですが○○へ一里六…の下が読めない。分かる方教えて欲しいです　#wayfarer
https://t.co/76BhGLwFKk</t>
  </si>
  <si>
    <t>radiusbit
ジム発生条件って、セル内のカウントにはスポンサーを含むんでしたっけ？
前にそのように変更されたことがあったけど一時的なものだと思ってました。
一昨日承認された案件で想定してなかったジムが発生してしまった。
#ポケモンGO #Wayfarer</t>
  </si>
  <si>
    <t>gorotsukineko
良いものほど、説明が適当だと腹がたちますよね。 申請対象に対するリスペクトが感じられないから。
#Wayfarer #ポケモンGO #ingress https://t.co/dai3qrJpn2</t>
  </si>
  <si>
    <t>enl_tp235
せめてマンホールを推薦してくるなら、このレベルを推薦してほしい。これならオリジナルなことだけ証明出来たら大丈夫だと思うし。_(:3」∠)_
なお、自分の近所だと北見市のはWayspotになってる。 紋別市は現在ポケふたの横にあったはず。
#Wayfarer https://t.co/IdH1i5yj1s</t>
  </si>
  <si>
    <t>10r_p
一里塚の碑の申請なんですが○○へ一里六…の下が読めない。分かる方教えて欲しいです　#wayfarer
https://t.co/76BhGLwFKk</t>
  </si>
  <si>
    <t>enlhyperi
9486+9806+708 = 20,000 agreements
! ヽ( ・∀・)ﾉ #wayfarer https://t.co/BlDwMvzbBz</t>
  </si>
  <si>
    <t>ultimasnorlax
一里塚の碑の申請なんですが○○へ一里六…の下が読めない。分かる方教えて欲しいです　#wayfarer
https://t.co/76BhGLwFKk</t>
  </si>
  <si>
    <t>kraschelinus
補足写真と入れ替わってたら・・・と思ったけど、ストビューが建設中のものしかないから否認されてもしょうがないかもしれない。
#Wayfarer #ポケストップ申請 #ポケモンGO https://t.co/etWR0Mj1sf</t>
  </si>
  <si>
    <t>laki_global
一里塚の碑の申請なんですが○○へ一里六…の下が読めない。分かる方教えて欲しいです　#wayfarer
https://t.co/76BhGLwFKk</t>
  </si>
  <si>
    <t>yo828_
宮城県の鹿島台から編集はこんなのばかり 画像を橋にすり替えて、タイトルの変更だろう
タイトルで橋、馬頭観音は間違いようがない あとは橋に位置修正をして、馬頭観音を新たに申請するやり方
鹿島台のせいで宮城県が一括りで不正の地と認識されかねない #wayfarer
@niantichelpjp @NianticJP https://t.co/S9XuFikIbb</t>
  </si>
  <si>
    <t xml:space="preserve">nianticjp
</t>
  </si>
  <si>
    <t xml:space="preserve">niantichelpjp
</t>
  </si>
  <si>
    <t>renesaenz17
The fact that #Facebook is fact
checking the #Wayfarer story, should
tell you that the fact checking
is bullshit. How could FB know
for a fact that this story isn’t
true? Within minutes they deemed
the story false. Based on what
investigation? Just because they
said so? #WakeUp</t>
  </si>
  <si>
    <t>freesuperhero1
The fact that #Facebook is fact
checking the #Wayfarer story, should
tell you that the fact checking
is bullshit. How could FB know
for a fact that this story isn’t
true? Within minutes they deemed
the story false. Based on what
investigation? Just because they
said so? #WakeUp</t>
  </si>
  <si>
    <t>hugh_nonymous
The fact that #Facebook is fact
checking the #Wayfarer story, should
tell you that the fact checking
is bullshit. How could FB know
for a fact that this story isn’t
true? Within minutes they deemed
the story false. Based on what
investigation? Just because they
said so? #WakeUp</t>
  </si>
  <si>
    <t>armendqaushi
The fact that #Facebook is fact
checking the #Wayfarer story, should
tell you that the fact checking
is bullshit. How could FB know
for a fact that this story isn’t
true? Within minutes they deemed
the story false. Based on what
investigation? Just because they
said so? #WakeUp</t>
  </si>
  <si>
    <t>bim_star
The fact that #Facebook is fact
checking the #Wayfarer story, should
tell you that the fact checking
is bullshit. How could FB know
for a fact that this story isn’t
true? Within minutes they deemed
the story false. Based on what
investigation? Just because they
said so? #WakeUp</t>
  </si>
  <si>
    <t>anthonyspradl12
The fact that #Facebook is fact
checking the #Wayfarer story, should
tell you that the fact checking
is bullshit. How could FB know
for a fact that this story isn’t
true? Within minutes they deemed
the story false. Based on what
investigation? Just because they
said so? #WakeUp</t>
  </si>
  <si>
    <t>magicalthorn
◆集会所と公園が併記される看板について とある公園の申請がありました。補足説明に看板を写しているのでよく見ると公園名称の下に「◯◯集会所」とありました。既に◯◯集会所はPOIとして生え、集会所の奥に公園があり、看板はその境界に存在します。どう評価しますか？
#Wayfarer</t>
  </si>
  <si>
    <t>bluelightgoo
🌈wayfarer🗺🌈 🌟銅メダル🥉ゲットだぜぇ～ポケモンGOのメダル貰えた事にビックリです(゜ﾛ゜;ﾉ)ﾉ
🌈Goロケット団イベント🌈 🌟久しぶりのぉ～サカキぃ～(oﾟ∀ﾟ)=○)´3｀)∴
🌟シャドウスイクンゲットだぜぇ～o(*≧∀≦)ﾉ #ポケモン
#ボケモンGo #PokémonGO #ロケット団 #wayfarer
#スイクン https://t.co/rqXD6javyi</t>
  </si>
  <si>
    <t>sinestzet
一里塚の碑の申請なんですが○○へ一里六…の下が読めない。分かる方教えて欲しいです　#wayfarer
https://t.co/76BhGLwFKk</t>
  </si>
  <si>
    <t>ishigo18
コメリで買った報告すんなや笑 #Wayfarer https://t.co/VESLsNC9MJ</t>
  </si>
  <si>
    <t>twoasiyesquire
宮城県の鹿島台から編集はこんなのばかり 画像を橋にすり替えて、タイトルの変更だろう
タイトルで橋、馬頭観音は間違いようがない あとは橋に位置修正をして、馬頭観音を新たに申請するやり方
鹿島台のせいで宮城県が一括りで不正の地と認識されかねない #wayfarer
@niantichelpjp @NianticJP https://t.co/S9XuFikIbb</t>
  </si>
  <si>
    <t>ddd66477118
宮城県の鹿島台から編集はこんなのばかり 画像を橋にすり替えて、タイトルの変更だろう
タイトルで橋、馬頭観音は間違いようがない あとは橋に位置修正をして、馬頭観音を新たに申請するやり方
鹿島台のせいで宮城県が一括りで不正の地と認識されかねない #wayfarer
@niantichelpjp @NianticJP https://t.co/S9XuFikIbb</t>
  </si>
  <si>
    <t>elv1sfan
Okay for those of you researching
Wayfair #wayfair #wayfairtrafficking
#Wayfarer #Hanks Most of you know
this already SKU = disturbing search
results SKU's also have names Example
= Alice cabinet followed by SKU
There are codes:- Pillows = blood,
adrenochrome? Handkerchief.?</t>
  </si>
  <si>
    <t>starseedof
Okay for those of you researching
Wayfair #wayfair #wayfairtrafficking
#Wayfarer #Hanks Most of you know
this already SKU = disturbing search
results SKU's also have names Example
= Alice cabinet followed by SKU
There are codes:- Pillows = blood,
adrenochrome? Handkerchief.?</t>
  </si>
  <si>
    <t>leah27christine
The fact that #Facebook is fact
checking the #Wayfarer story, should
tell you that the fact checking
is bullshit. How could FB know
for a fact that this story isn’t
true? Within minutes they deemed
the story false. Based on what
investigation? Just because they
said so? #WakeUp</t>
  </si>
  <si>
    <t>damujen
@FreeSuperhero1 what is the #wayfarer
story? I'm googling and all I can
find is raybans and pokemons</t>
  </si>
  <si>
    <t>ted_pops
Thank you @SunglassHutSA my favourite
@ray_ban #wayfarer sunnies are
back. New lenses fitted perfectly👌😎
#rayban #polarised https://t.co/oc8Qg9jfvz</t>
  </si>
  <si>
    <t xml:space="preserve">ray_ban
</t>
  </si>
  <si>
    <t xml:space="preserve">sunglasshutsa
</t>
  </si>
  <si>
    <t>chuckfinley305
Here another #wayfarer irtrafficking
connection! https://t.co/mDbDkDbLOc</t>
  </si>
  <si>
    <t>pokemon_1234567
とある場所の案内図という名の地図書かれた看板否認された…。 場所は駐車場脇の歩行者しか入れない所。
これに限らず看板類が全然承認もらえないんだけど、 看板って申請するだけ無駄なのかな？
#wayfarer</t>
  </si>
  <si>
    <t>frankhoncho
The fact that #Facebook is fact
checking the #Wayfarer story, should
tell you that the fact checking
is bullshit. How could FB know
for a fact that this story isn’t
true? Within minutes they deemed
the story false. Based on what
investigation? Just because they
said so? #WakeUp</t>
  </si>
  <si>
    <t>tsukinapo_puyo
有識者の方へ S2セル内のポケスト数に対してジム数が多いんですが、
①誰かが編集でずらしたってことなんでしょうか？ ②ポケストとジムが共生してるんですが(写真2)、これはどういう理屈なんでしょうか、、
URLから位置修正したので、位置はあってるんですが、、、 #wayfarer
#ポケモンgo #ジム https://t.co/LKW3ijdbOy</t>
  </si>
  <si>
    <t>mimoza_moza2
有識者の方へ S2セル内のポケスト数に対してジム数が多いんですが、
①誰かが編集でずらしたってことなんでしょうか？ ②ポケストとジムが共生してるんですが(写真2)、これはどういう理屈なんでしょうか、、
URLから位置修正したので、位置はあってるんですが、、、 #wayfarer
#ポケモンgo #ジム https://t.co/LKW3ijdbOy</t>
  </si>
  <si>
    <t>misrenee7783
The fact that #Facebook is fact
checking the #Wayfarer story, should
tell you that the fact checking
is bullshit. How could FB know
for a fact that this story isn’t
true? Within minutes they deemed
the story false. Based on what
investigation? Just because they
said so? #WakeUp</t>
  </si>
  <si>
    <t>alisondcarr
Stunning Dodge Wayfarer for sale.
#dodge #wayfarer #classic #lovely
#summer https://t.co/s2xynp6CJt</t>
  </si>
  <si>
    <t>lisa_cable
#Wayfarer #wayfairtrafficking Omg
the listing is real, I just searched
it up on duckduckgo and it's still
there https://t.co/dsWOiHUK8M</t>
  </si>
  <si>
    <t>littlemissmeta
#Wayfarer #wayfairtrafficking Omg
the listing is real, I just searched
it up on duckduckgo and it's still
there https://t.co/dsWOiHUK8M</t>
  </si>
  <si>
    <t>aryservant
@LisaMarieChoko4 @terese_little
@Maristlizard I don’t think it
is a coincidence that as we were
praying against the demonic spirit
of predation, that things went
wild over #Wayfarer. The Holy Spirit
brings to Light, all that has been
hidden.</t>
  </si>
  <si>
    <t xml:space="preserve">maristlizard
</t>
  </si>
  <si>
    <t xml:space="preserve">terese_little
</t>
  </si>
  <si>
    <t xml:space="preserve">lisamariechoko4
</t>
  </si>
  <si>
    <t>thedesigner_17
#Wayfarer #wayfairtrafficking Omg
the listing is real, I just searched
it up on duckduckgo and it's still
there https://t.co/dsWOiHUK8M</t>
  </si>
  <si>
    <t>humbert42454958
The fact that #Facebook is fact
checking the #Wayfarer story, should
tell you that the fact checking
is bullshit. How could FB know
for a fact that this story isn’t
true? Within minutes they deemed
the story false. Based on what
investigation? Just because they
said so? #WakeUp</t>
  </si>
  <si>
    <t>ianbursillphoto
The fact that #Facebook is fact
checking the #Wayfarer story, should
tell you that the fact checking
is bullshit. How could FB know
for a fact that this story isn’t
true? Within minutes they deemed
the story false. Based on what
investigation? Just because they
said so? #WakeUp</t>
  </si>
  <si>
    <t>mihoppy_pokego
うーわー！ 一度否認された峠の見晴台が再チャレンジでポケスト認可されたー！！
明日にはポケストできてるだろうからロケット🚀イベントやるときに回しに行こう✨
ハトぽっぽさん・もなかさんはじめ皆さんアドバイスありがとうございました🙂✨✨✨
#Wayfarer</t>
  </si>
  <si>
    <t>connor_mosher
The fact that #Facebook is fact
checking the #Wayfarer story, should
tell you that the fact checking
is bullshit. How could FB know
for a fact that this story isn’t
true? Within minutes they deemed
the story false. Based on what
investigation? Just because they
said so? #WakeUp</t>
  </si>
  <si>
    <t>scoopalou
The fact that #Facebook is fact
checking the #Wayfarer story, should
tell you that the fact checking
is bullshit. How could FB know
for a fact that this story isn’t
true? Within minutes they deemed
the story false. Based on what
investigation? Just because they
said so? #WakeUp</t>
  </si>
  <si>
    <t>dissidentpr1
LMAOO..😆🤣 the internet is a twisted
place! #wayfairgate #Wayfarer #wayfairscandal
#pedogate2020 https://t.co/3wxvI8B43d</t>
  </si>
  <si>
    <t>kguegallagher
The fact that #Facebook is fact
checking the #Wayfarer story, should
tell you that the fact checking
is bullshit. How could FB know
for a fact that this story isn’t
true? Within minutes they deemed
the story false. Based on what
investigation? Just because they
said so? #WakeUp</t>
  </si>
  <si>
    <t>mikeytvjonez
#Wayfarer and why they call it
a ring Read: https://t.co/M2D4wtX92B</t>
  </si>
  <si>
    <t>peachpriestess
The fact that #Facebook is fact
checking the #Wayfarer story, should
tell you that the fact checking
is bullshit. How could FB know
for a fact that this story isn’t
true? Within minutes they deemed
the story false. Based on what
investigation? Just because they
said so? #WakeUp</t>
  </si>
  <si>
    <t>asperminette
The fact that #Facebook is fact
checking the #Wayfarer story, should
tell you that the fact checking
is bullshit. How could FB know
for a fact that this story isn’t
true? Within minutes they deemed
the story false. Based on what
investigation? Just because they
said so? #WakeUp</t>
  </si>
  <si>
    <t>ninjaawaffles
The fact that #Facebook is fact
checking the #Wayfarer story, should
tell you that the fact checking
is bullshit. How could FB know
for a fact that this story isn’t
true? Within minutes they deemed
the story false. Based on what
investigation? Just because they
said so? #WakeUp</t>
  </si>
  <si>
    <t>paulthemartian
The fact that #Facebook is fact
checking the #Wayfarer story, should
tell you that the fact checking
is bullshit. How could FB know
for a fact that this story isn’t
true? Within minutes they deemed
the story false. Based on what
investigation? Just because they
said so? #WakeUp</t>
  </si>
  <si>
    <t>stannorred
The fact that #Facebook is fact
checking the #Wayfarer story, should
tell you that the fact checking
is bullshit. How could FB know
for a fact that this story isn’t
true? Within minutes they deemed
the story false. Based on what
investigation? Just because they
said so? #WakeUp</t>
  </si>
  <si>
    <t>ghengiskhan88
The fact that #Facebook is fact
checking the #Wayfarer story, should
tell you that the fact checking
is bullshit. How could FB know
for a fact that this story isn’t
true? Within minutes they deemed
the story false. Based on what
investigation? Just because they
said so? #WakeUp</t>
  </si>
  <si>
    <t>libertyjusticeb
The fact that #Facebook is fact
checking the #Wayfarer story, should
tell you that the fact checking
is bullshit. How could FB know
for a fact that this story isn’t
true? Within minutes they deemed
the story false. Based on what
investigation? Just because they
said so? #WakeUp</t>
  </si>
  <si>
    <t>nathankg
The fact that #Facebook is fact
checking the #Wayfarer story, should
tell you that the fact checking
is bullshit. How could FB know
for a fact that this story isn’t
true? Within minutes they deemed
the story false. Based on what
investigation? Just because they
said so? #WakeUp</t>
  </si>
  <si>
    <t>lillmcgil
The fact that #Facebook is fact
checking the #Wayfarer story, should
tell you that the fact checking
is bullshit. How could FB know
for a fact that this story isn’t
true? Within minutes they deemed
the story false. Based on what
investigation? Just because they
said so? #WakeUp</t>
  </si>
  <si>
    <t>anti_ball
The fact that #Facebook is fact
checking the #Wayfarer story, should
tell you that the fact checking
is bullshit. How could FB know
for a fact that this story isn’t
true? Within minutes they deemed
the story false. Based on what
investigation? Just because they
said so? #WakeUp</t>
  </si>
  <si>
    <t>theadoredeplore
The fact that #Facebook is fact
checking the #Wayfarer story, should
tell you that the fact checking
is bullshit. How could FB know
for a fact that this story isn’t
true? Within minutes they deemed
the story false. Based on what
investigation? Just because they
said so? #WakeUp</t>
  </si>
  <si>
    <t>warteambravo
The fact that #Facebook is fact
checking the #Wayfarer story, should
tell you that the fact checking
is bullshit. How could FB know
for a fact that this story isn’t
true? Within minutes they deemed
the story false. Based on what
investigation? Just because they
said so? #WakeUp</t>
  </si>
  <si>
    <t>hurrywakeupnow
The fact that #Facebook is fact
checking the #Wayfarer story, should
tell you that the fact checking
is bullshit. How could FB know
for a fact that this story isn’t
true? Within minutes they deemed
the story false. Based on what
investigation? Just because they
said so? #WakeUp</t>
  </si>
  <si>
    <t>candyace
The fact that #Facebook is fact
checking the #Wayfarer story, should
tell you that the fact checking
is bullshit. How could FB know
for a fact that this story isn’t
true? Within minutes they deemed
the story false. Based on what
investigation? Just because they
said so? #WakeUp</t>
  </si>
  <si>
    <t>revelationskool
Ten more days for Moses! In the
verse of the Qur'an, God states
that: “We appointed for Moses thirty
nights, and completed (the period)
with ten (more)”…. https://t.co/dAcGLZpEJA
#moses #story #perfection #wayfarer
#mountains #jesus #mosesprophet
#purify #theschoolofrevelation
https://t.co/fRYy6w6Aex</t>
  </si>
  <si>
    <t>sire_salehan
Ten more days for Moses! In the
verse of the Qur'an, God states
that: “We appointed for Moses thirty
nights, and completed (the period)
with ten (more)”…. https://t.co/dAcGLZpEJA
#moses #story #perfection #wayfarer
#mountains #jesus #mosesprophet
#purify #theschoolofrevelation
https://t.co/fRYy6w6Aex</t>
  </si>
  <si>
    <t>thekaratekid83
NEW SHADES 😎 https://t.co/u38ryYtB2r
[original classic polarized sunglasses
just released] #represent #originalclassic
#sunglasses #polarized #wayfarer
#rephard #neverestablished #alwaysforward
https://t.co/yLi324JZom</t>
  </si>
  <si>
    <t>representltd
NEW SHADES 😎 https://t.co/u38ryYtB2r
[original classic polarized sunglasses
just released] #represent #originalclassic
#sunglasses #polarized #wayfarer
#rephard #neverestablished #alwaysforward
https://t.co/yLi324JZom</t>
  </si>
  <si>
    <t>55yankeee
過渡期なんだなぁと思うのよね。 #wayfarer https://t.co/mmGKckheSj</t>
  </si>
  <si>
    <t>momo99momo1
このパターン、自分も経験してるけど悔しいね でもその場所が認められるのは少しうれしい
#Wayfarer https://t.co/Bn8HmiP6rN</t>
  </si>
  <si>
    <t>mikemur69208563
The fact that #Facebook is fact
checking the #Wayfarer story, should
tell you that the fact checking
is bullshit. How could FB know
for a fact that this story isn’t
true? Within minutes they deemed
the story false. Based on what
investigation? Just because they
said so? #WakeUp</t>
  </si>
  <si>
    <t>shinebr10868153
The fact that #Facebook is fact
checking the #Wayfarer story, should
tell you that the fact checking
is bullshit. How could FB know
for a fact that this story isn’t
true? Within minutes they deemed
the story false. Based on what
investigation? Just because they
said so? #WakeUp</t>
  </si>
  <si>
    <t>trudyelliot
Il fatto che #Facebook stia verificando
la storia di #Wayfarer, dovrebbe
dirvi che il controllo dei fatti
è una stronzata. Come può FB sapere
che #Wayfair è una storia falsa?
Lo sanno in pochi minuti. In base
a quale indagine? Solo perché l'hanno
detto loro? #WakeUp https://t.co/07FBDmCkVE</t>
  </si>
  <si>
    <t>jefferystraker
Got new lenses for my favorite
glasses—my Ray-Bans. Put em on
and BOOM... I’m 1950. #glasses
#rayban #wayfarer #fashion #nerd
https://t.co/p7sv72Es0W</t>
  </si>
  <si>
    <t>hildahealing
The fact that #Facebook is fact
checking the #Wayfarer story, should
tell you that the fact checking
is bullshit. How could FB know
for a fact that this story isn’t
true? Within minutes they deemed
the story false. Based on what
investigation? Just because they
said so? #WakeUp</t>
  </si>
  <si>
    <t>vivienmaron
The fact that #Facebook is fact
checking the #Wayfarer story, should
tell you that the fact checking
is bullshit. How could FB know
for a fact that this story isn’t
true? Within minutes they deemed
the story false. Based on what
investigation? Just because they
said so? #WakeUp</t>
  </si>
  <si>
    <t>kaniwo
#Wayfarer、「散歩コース案内板（200m）」とか、OKにしたくないが、周囲のポータルを調べてみると100ｍが存在していて、ぐぬぬ‥‥となるｗ</t>
  </si>
  <si>
    <t>pineal_963
The fact that #Facebook is fact
checking the #Wayfarer story, should
tell you that the fact checking
is bullshit. How could FB know
for a fact that this story isn’t
true? Within minutes they deemed
the story false. Based on what
investigation? Just because they
said so? #WakeUp</t>
  </si>
  <si>
    <t>garriottmatty
The fact that #Facebook is fact
checking the #Wayfarer story, should
tell you that the fact checking
is bullshit. How could FB know
for a fact that this story isn’t
true? Within minutes they deemed
the story false. Based on what
investigation? Just because they
said so? #WakeUp</t>
  </si>
  <si>
    <t>bigru510
NEW SHADES 😎 https://t.co/u38ryYtB2r
[original classic polarized sunglasses
just released] #represent #originalclassic
#sunglasses #polarized #wayfarer
#rephard #neverestablished #alwaysforward
https://t.co/yLi324JZom</t>
  </si>
  <si>
    <t>patsywilliams1
#wayfarer is a #pedophelia operation!!!!</t>
  </si>
  <si>
    <t>genhydra
The fact that #Facebook is fact
checking the #Wayfarer story, should
tell you that the fact checking
is bullshit. How could FB know
for a fact that this story isn’t
true? Within minutes they deemed
the story false. Based on what
investigation? Just because they
said so? #WakeUp</t>
  </si>
  <si>
    <t>joyfulhandsther
The fact that #Facebook is fact
checking the #Wayfarer story, should
tell you that the fact checking
is bullshit. How could FB know
for a fact that this story isn’t
true? Within minutes they deemed
the story false. Based on what
investigation? Just because they
said so? #WakeUp</t>
  </si>
  <si>
    <t>geevalarie
The fact that #Facebook is fact
checking the #Wayfarer story, should
tell you that the fact checking
is bullshit. How could FB know
for a fact that this story isn’t
true? Within minutes they deemed
the story false. Based on what
investigation? Just because they
said so? #WakeUp</t>
  </si>
  <si>
    <t>marianacoldwell
The fact that #Facebook is fact
checking the #Wayfarer story, should
tell you that the fact checking
is bullshit. How could FB know
for a fact that this story isn’t
true? Within minutes they deemed
the story false. Based on what
investigation? Just because they
said so? #WakeUp</t>
  </si>
  <si>
    <t>brettcoldwell
The fact that #Facebook is fact
checking the #Wayfarer story, should
tell you that the fact checking
is bullshit. How could FB know
for a fact that this story isn’t
true? Within minutes they deemed
the story false. Based on what
investigation? Just because they
said so? #WakeUp</t>
  </si>
  <si>
    <t>kwokkwun1
The fact that #Facebook is fact
checking the #Wayfarer story, should
tell you that the fact checking
is bullshit. How could FB know
for a fact that this story isn’t
true? Within minutes they deemed
the story false. Based on what
investigation? Just because they
said so? #WakeUp</t>
  </si>
  <si>
    <t>kidwithoneshoe
The fact that #Facebook is fact
checking the #Wayfarer story, should
tell you that the fact checking
is bullshit. How could FB know
for a fact that this story isn’t
true? Within minutes they deemed
the story false. Based on what
investigation? Just because they
said so? #WakeUp</t>
  </si>
  <si>
    <t>jadedl
🔴🔵⚫️⚫️ Trump cut off the highway
at the borders for transporting
these kids now they’re using these
websites to box them and send them
right in front of our eyes #WeAreTheNewsNow
#Amazon #Wayfarer #WeSeeYou #QAnon
#Trump2020 #ObamaGate https://t.co/B7aT9QwnjM</t>
  </si>
  <si>
    <t>amotherinusa
@totemranch613 🔴Trump cut off
the highway at the borders for
transporting these kids now they’re
using these websites to box them
and send them right in front of
our eyes #WeAreTheNewsNow #Amazon
#Wayfarer #WeSeeYou #QAnon #Trump2020
#ObamaGate https://t.co/MVsKVeb7Ht</t>
  </si>
  <si>
    <t>theworldwillkn1
👿🔴Trump cut off the highway at
the borders for transporting these
kids now they’re using these websites
to box them and send them right
in front of our eyes #WeAreTheNewsNow
#Amazon #Wayfarer #WeSeeYou #QAnon
#Trump2020 #ObamaGate https://t.co/MVsKVeb7Ht</t>
  </si>
  <si>
    <t>priceys
🔴Trump cut off the highway at
the borders for transporting these
kids now they’re using these websites
to box them and send them right
in front of our eyes #WeAreTheNewsNow
#Amazon #Wayfarer #WeSeeYou #QAnon
#Trump2020 #ObamaGate https://t.co/MVsKVeb7Ht</t>
  </si>
  <si>
    <t>ghettolion17
🔴Trump cut off the highway at
the borders for transporting these
kids now they’re using these websites
to box them and send them right
in front of our eyes #WeAreTheNewsNow
#Amazon #Wayfarer #WeSeeYou #QAnon
#Trump2020 #ObamaGate https://t.co/MVsKVeb7Ht</t>
  </si>
  <si>
    <t>milob122
@bman304 @timetowakeupsw1 🔴Trump
cut off the highway at the borders
for transporting these kids now
they’re using these websites to
box them and send them right in
front of our eyes #WeAreTheNewsNow
#Amazon #Wayfarer #WeSeeYou #QAnon
#Trump2020 #ObamaGate https://t.co/MVsKVeb7Ht</t>
  </si>
  <si>
    <t>timetowakeupsw1
@bman304 @timetowakeupsw1 🔴Trump
cut off the highway at the borders
for transporting these kids now
they’re using these websites to
box them and send them right in
front of our eyes #WeAreTheNewsNow
#Amazon #Wayfarer #WeSeeYou #QAnon
#Trump2020 #ObamaGate https://t.co/MVsKVeb7Ht</t>
  </si>
  <si>
    <t xml:space="preserve">bman304
</t>
  </si>
  <si>
    <t>ucmkpni
写ってますよ〜！ Σ（・□・；） #wayfarer https://t.co/Jz3A3r4GvM</t>
  </si>
  <si>
    <t>waiwai5321
補足写真さえちゃんと撮れてれば通したのに、という申請が結構ある
頭使って補足してくださ〜い #Wayfarer</t>
  </si>
  <si>
    <t>roassotakasan
何これww 初めてこんなふざけた申請が来た😠 #wayfarer
#ポケストップ申請 #ポケストップ審査 https://t.co/ZiluRjyZnF</t>
  </si>
  <si>
    <t>ueji24
『蟲』と表記した場合は「虫」とされるものに限らず、「虫」とは思われないネズミ・爬虫類や両生類など一部の脊椎動物をも含んだ表現になる。
#ポケストップ審査 #Wayfarer https://t.co/6gg1kQaUr9</t>
  </si>
  <si>
    <t>roxyspencer11
@bman304 @timetowakeupsw1 🔴Trump
cut off the highway at the borders
for transporting these kids now
they’re using these websites to
box them and send them right in
front of our eyes #WeAreTheNewsNow
#Amazon #Wayfarer #WeSeeYou #QAnon
#Trump2020 #ObamaGate https://t.co/MVsKVeb7Ht</t>
  </si>
  <si>
    <t xml:space="preserve">maga2arights
</t>
  </si>
  <si>
    <t xml:space="preserve">thomas1774paine
</t>
  </si>
  <si>
    <t xml:space="preserve">s00nergirl
</t>
  </si>
  <si>
    <t xml:space="preserve">reaidonaltrump_
</t>
  </si>
  <si>
    <t xml:space="preserve">phoenxrisng1776
</t>
  </si>
  <si>
    <t xml:space="preserve">yc727usa
</t>
  </si>
  <si>
    <t xml:space="preserve">rubble30
</t>
  </si>
  <si>
    <t xml:space="preserve">totemranch613
</t>
  </si>
  <si>
    <t>fedagentmark
🔴Trump cut off the highway at
the borders for transporting these
kids now they’re using these websites
to box them and send them right
in front of our eyes #WeAreTheNewsNow
#Amazon #Wayfarer #WeSeeYou #QAnon
#Trump2020 #ObamaGate https://t.co/MVsKVeb7Ht</t>
  </si>
  <si>
    <t>diaper_dan
The fact that #Facebook is fact
checking the #Wayfarer story, should
tell you that the fact checking
is bullshit. How could FB know
for a fact that this story isn’t
true? Within minutes they deemed
the story false. Based on what
investigation? Just because they
said so? #WakeUp</t>
  </si>
  <si>
    <t>davhalter
@johnpecco1 @emfvet78 @FBI @Wayfair
🔴Trump cut off the highway at
the borders for transporting these
kids now they’re using these websites
to box them and send them right
in front of our eyes #WeAreTheNewsNow
#Amazon #Wayfarer #WeSeeYou #QAnon
#Trump2020 #ObamaGate https://t.co/MVsKVeb7Ht</t>
  </si>
  <si>
    <t xml:space="preserve">fbi
</t>
  </si>
  <si>
    <t xml:space="preserve">emfvet78
</t>
  </si>
  <si>
    <t xml:space="preserve">johnpecco1
</t>
  </si>
  <si>
    <t>conchbar17
🔴Trump cut off the highway at
the borders for transporting these
kids now they’re using these websites
to box them and send them right
in front of our eyes #WeAreTheNewsNow
#Amazon #Wayfarer #WeSeeYou #QAnon
#Trump2020 #ObamaGate https://t.co/MVsKVeb7Ht</t>
  </si>
  <si>
    <t>davidfit
🔴🔵⚫️⚫️ Trump cut off the highway
at the borders for transporting
these kids now they’re using these
websites to box them and send them
right in front of our eyes #WeAreTheNewsNow
#Amazon #Wayfarer #WeSeeYou #QAnon
#Trump2020 #ObamaGate https://t.co/B7aT9QwnjM</t>
  </si>
  <si>
    <t>biracialconser1
#Wayfarer #wayfairtrafficking Omg
the listing is real, I just searched
it up on duckduckgo and it's still
there https://t.co/dsWOiHUK8M</t>
  </si>
  <si>
    <t>itgoesanonanon
The fact that #Facebook is fact
checking the #Wayfarer story, should
tell you that the fact checking
is bullshit. How could FB know
for a fact that this story isn’t
true? Within minutes they deemed
the story false. Based on what
investigation? Just because they
said so? #WakeUp</t>
  </si>
  <si>
    <t>knoxyy99
What a day, #willandJada, #Wayfarer,
and #UFC251 LOVE TO SEE IT</t>
  </si>
  <si>
    <t>mikespec11
The fact that #Facebook is fact
checking the #Wayfarer story, should
tell you that the fact checking
is bullshit. How could FB know
for a fact that this story isn’t
true? Within minutes they deemed
the story false. Based on what
investigation? Just because they
said so? #WakeUp</t>
  </si>
  <si>
    <t>lovelightangel2
The fact that #Facebook is fact
checking the #Wayfarer story, should
tell you that the fact checking
is bullshit. How could FB know
for a fact that this story isn’t
true? Within minutes they deemed
the story false. Based on what
investigation? Just because they
said so? #WakeUp</t>
  </si>
  <si>
    <t>_omizo_
アプデ0.181.0A64したらポケストップ申請がバグでできないのか？(受理メールが来ない)
#Wayfarer</t>
  </si>
  <si>
    <t>bookworm543211
The fact that #Facebook is fact
checking the #Wayfarer story, should
tell you that the fact checking
is bullshit. How could FB know
for a fact that this story isn’t
true? Within minutes they deemed
the story false. Based on what
investigation? Just because they
said so? #WakeUp</t>
  </si>
  <si>
    <t>honor2020
🔴Trump cut off the highway at
the borders for transporting these
kids now they’re using these websites
to box them and send them right
in front of our eyes #WeAreTheNewsNow
#Amazon #Wayfarer #WeSeeYou #QAnon
#Trump2020 #ObamaGate https://t.co/MVsKVeb7Ht</t>
  </si>
  <si>
    <t>lookstorei
Artisan series from Lookstore Tortoise
shell #handmade #acetate #shellframes
#artisanseries #designercollection
#lookstore #lookstoreindia #lookstoresunglasses
#wayfarer #shell #handcrafted #lookstoresunglasses
#sunglassesindia #shell #shellframe
#aceta… https://t.co/y3LW4CYM9p
https://t.co/s7N3QDaYxC</t>
  </si>
  <si>
    <t>joanofarc62
🔴Trump cut off the highway at
the borders for transporting these
kids now they’re using these websites
to box them and send them right
in front of our eyes #WeAreTheNewsNow
#Amazon #Wayfarer #WeSeeYou #QAnon
#Trump2020 #ObamaGate https://t.co/MVsKVeb7Ht</t>
  </si>
  <si>
    <t xml:space="preserve">mittromney
</t>
  </si>
  <si>
    <t>deplorqult45
@DeplorQult45 @marymauldin @AbrahamWooster
@KarluskaP @MittRomney 🔴Trump
cut off the highway at the borders
for transporting these kids now
they’re using these websites to
box them and send them right in
front of our eyes #WeAreTheNewsNow
#Amazon #Wayfarer #WeSeeYou #QAnon
#Trump2020 #ObamaGate https://t.co/MVsKVeb7Ht</t>
  </si>
  <si>
    <t>marymauldin
@DeplorQult45 @marymauldin @AbrahamWooster
@KarluskaP @MittRomney 🔴Trump
cut off the highway at the borders
for transporting these kids now
they’re using these websites to
box them and send them right in
front of our eyes #WeAreTheNewsNow
#Amazon #Wayfarer #WeSeeYou #QAnon
#Trump2020 #ObamaGate https://t.co/MVsKVeb7Ht</t>
  </si>
  <si>
    <t xml:space="preserve">karluskap
</t>
  </si>
  <si>
    <t xml:space="preserve">abrahamwooster
</t>
  </si>
  <si>
    <t>makoto_8810
そして増えないWayfarerメダル #ポケモンGO #Wayfarer
https://t.co/IPTFe8tOXD</t>
  </si>
  <si>
    <t>GraphSource░TwitterSearch▓GraphTerm░#Wayfarer</t>
  </si>
  <si>
    <t>Directed</t>
  </si>
  <si>
    <t>&lt;?xml version="1.0" encoding="utf-8"?&gt;_x000D_
&lt;configuration&gt;_x000D_
  &lt;configSections&gt;_x000D_
    &lt;sectionGroup name="userSettings" type="System.Configuration.UserSettingsGroup, System, Version=2.0.0.0, Culture=neutral, PublicKeyToken=b77a5c561934e089"&gt;_x000D_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&lt;AutoScaleUserSettings&gt;_x000D_
      &lt;setting name="AutoScale" serializeAs="String"&gt;_x000D_
        &lt;value&gt;False&lt;/value&gt;_x000D_
      &lt;/setting&gt;_x000D_
    &lt;/AutoScaleUserSettings&gt;_x000D_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</si>
</sst>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12">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 fontId="11" fillId="9" borderId="5" xfId="0" applyNumberFormat="1" applyFont="1" applyFill="1" applyBorder="1"/>
    <xf numFmtId="0" fontId="11" fillId="9" borderId="6" xfId="0" applyNumberFormat="1" applyFont="1" applyFill="1" applyBorder="1"/>
    <xf numFmtId="0" fontId="11" fillId="9" borderId="5" xfId="0" applyNumberFormat="1" applyFont="1" applyFill="1" applyBorder="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11" fillId="2" borderId="1" xfId="1"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13" fillId="0" borderId="0" xfId="9" applyFill="1" applyAlignment="1"/>
    <xf numFmtId="0" fontId="13" fillId="0" borderId="0" xfId="9" applyAlignment="1"/>
    <xf numFmtId="14" fontId="0" fillId="0" borderId="0" xfId="0" applyNumberFormat="1" applyAlignment="1"/>
    <xf numFmtId="14" fontId="0" fillId="0" borderId="0" xfId="0" applyNumberFormat="1" applyFill="1" applyAlignment="1"/>
    <xf numFmtId="0" fontId="0" fillId="0" borderId="0" xfId="0" quotePrefix="1" applyAlignment="1"/>
    <xf numFmtId="0" fontId="0" fillId="0" borderId="0" xfId="0" quotePrefix="1" applyFill="1" applyAlignment="1"/>
    <xf numFmtId="1" fontId="11" fillId="4" borderId="1" xfId="5"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164" fontId="0" fillId="3" borderId="11" xfId="7" applyNumberFormat="1" applyFont="1" applyBorder="1" applyAlignment="1"/>
    <xf numFmtId="165" fontId="0" fillId="3" borderId="11" xfId="7" applyNumberFormat="1" applyFont="1" applyBorder="1" applyAlignment="1"/>
    <xf numFmtId="0" fontId="0" fillId="3" borderId="11" xfId="7" applyNumberFormat="1" applyFont="1" applyBorder="1" applyAlignment="1"/>
    <xf numFmtId="166" fontId="0" fillId="3" borderId="11" xfId="7" applyNumberFormat="1" applyFont="1" applyBorder="1" applyAlignment="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applyAlignment="1"/>
    <xf numFmtId="0" fontId="0" fillId="0" borderId="0" xfId="2" applyNumberFormat="1" applyFont="1" applyBorder="1" applyAlignment="1"/>
    <xf numFmtId="0" fontId="13" fillId="5" borderId="1" xfId="9" applyNumberFormat="1" applyFill="1" applyBorder="1" applyAlignment="1"/>
    <xf numFmtId="0" fontId="13" fillId="5" borderId="11" xfId="9" applyNumberFormat="1" applyFill="1" applyBorder="1" applyAlignment="1"/>
    <xf numFmtId="0" fontId="0" fillId="0" borderId="0" xfId="0" applyFill="1" applyAlignment="1">
      <alignment wrapText="1"/>
    </xf>
  </cellXfs>
  <cellStyles count="10">
    <cellStyle name="Hyperlink" xfId="9" builtinId="8"/>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162">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right style="thin">
          <color theme="0"/>
        </right>
      </border>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161"/>
      <tableStyleElement type="headerRow" dxfId="160"/>
    </tableStyle>
    <tableStyle name="NodeXL Table" pivot="0" count="1" xr9:uid="{00000000-0011-0000-FFFF-FFFF01000000}">
      <tableStyleElement type="headerRow" dxfId="15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Metrics'!$D$2:$D$50</c:f>
              <c:numCache>
                <c:formatCode>#,##0.00</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40">
                  <c:v>0</c:v>
                </c:pt>
                <c:pt idx="41">
                  <c:v>0</c:v>
                </c:pt>
                <c:pt idx="42">
                  <c:v>0</c:v>
                </c:pt>
                <c:pt idx="43">
                  <c:v>0</c:v>
                </c:pt>
                <c:pt idx="44">
                  <c:v>0</c:v>
                </c:pt>
                <c:pt idx="45">
                  <c:v>0</c:v>
                </c:pt>
                <c:pt idx="46">
                  <c:v>0</c:v>
                </c:pt>
                <c:pt idx="47">
                  <c:v>0</c:v>
                </c:pt>
                <c:pt idx="48">
                  <c:v>0</c:v>
                </c:pt>
              </c:numCache>
            </c:numRef>
          </c:cat>
          <c:val>
            <c:numRef>
              <c:f>'Overall Metrics'!$E$2:$E$50</c:f>
              <c:numCache>
                <c:formatCode>General</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val>
          <c:extLst>
            <c:ext xmlns:c16="http://schemas.microsoft.com/office/drawing/2014/chart" uri="{C3380CC4-5D6E-409C-BE32-E72D297353CC}">
              <c16:uniqueId val="{00000000-1618-4559-8712-AEA9DF0168F6}"/>
            </c:ext>
          </c:extLst>
        </c:ser>
        <c:dLbls>
          <c:showLegendKey val="0"/>
          <c:showVal val="0"/>
          <c:showCatName val="0"/>
          <c:showSerName val="0"/>
          <c:showPercent val="0"/>
          <c:showBubbleSize val="0"/>
        </c:dLbls>
        <c:gapWidth val="0"/>
        <c:axId val="-176611840"/>
        <c:axId val="-176621088"/>
      </c:barChart>
      <c:catAx>
        <c:axId val="-176611840"/>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76621088"/>
        <c:crosses val="autoZero"/>
        <c:auto val="1"/>
        <c:lblAlgn val="ctr"/>
        <c:lblOffset val="100"/>
        <c:noMultiLvlLbl val="0"/>
      </c:catAx>
      <c:valAx>
        <c:axId val="-17662108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7661184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Metrics'!$F$2:$F$50</c:f>
              <c:numCache>
                <c:formatCode>#,##0.00</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40">
                  <c:v>0</c:v>
                </c:pt>
                <c:pt idx="41">
                  <c:v>0</c:v>
                </c:pt>
                <c:pt idx="42">
                  <c:v>0</c:v>
                </c:pt>
                <c:pt idx="43">
                  <c:v>0</c:v>
                </c:pt>
                <c:pt idx="44">
                  <c:v>0</c:v>
                </c:pt>
                <c:pt idx="45">
                  <c:v>0</c:v>
                </c:pt>
                <c:pt idx="46">
                  <c:v>0</c:v>
                </c:pt>
                <c:pt idx="47">
                  <c:v>0</c:v>
                </c:pt>
                <c:pt idx="48">
                  <c:v>0</c:v>
                </c:pt>
              </c:numCache>
            </c:numRef>
          </c:cat>
          <c:val>
            <c:numRef>
              <c:f>'Overall Metrics'!$G$2:$G$50</c:f>
              <c:numCache>
                <c:formatCode>General</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val>
          <c:extLst>
            <c:ext xmlns:c16="http://schemas.microsoft.com/office/drawing/2014/chart" uri="{C3380CC4-5D6E-409C-BE32-E72D297353CC}">
              <c16:uniqueId val="{00000000-AAFC-4A8B-8AC3-2BEA4D0C308E}"/>
            </c:ext>
          </c:extLst>
        </c:ser>
        <c:dLbls>
          <c:showLegendKey val="0"/>
          <c:showVal val="0"/>
          <c:showCatName val="0"/>
          <c:showSerName val="0"/>
          <c:showPercent val="0"/>
          <c:showBubbleSize val="0"/>
        </c:dLbls>
        <c:gapWidth val="0"/>
        <c:axId val="-176617824"/>
        <c:axId val="-176623808"/>
      </c:barChart>
      <c:catAx>
        <c:axId val="-17661782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76623808"/>
        <c:crosses val="autoZero"/>
        <c:auto val="1"/>
        <c:lblAlgn val="ctr"/>
        <c:lblOffset val="100"/>
        <c:noMultiLvlLbl val="0"/>
      </c:catAx>
      <c:valAx>
        <c:axId val="-1766238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766178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Metrics'!$H$2:$H$50</c:f>
              <c:numCache>
                <c:formatCode>#,##0.00</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40">
                  <c:v>0</c:v>
                </c:pt>
                <c:pt idx="41">
                  <c:v>0</c:v>
                </c:pt>
                <c:pt idx="42">
                  <c:v>0</c:v>
                </c:pt>
                <c:pt idx="43">
                  <c:v>0</c:v>
                </c:pt>
                <c:pt idx="44">
                  <c:v>0</c:v>
                </c:pt>
                <c:pt idx="45">
                  <c:v>0</c:v>
                </c:pt>
                <c:pt idx="46">
                  <c:v>0</c:v>
                </c:pt>
                <c:pt idx="47">
                  <c:v>0</c:v>
                </c:pt>
                <c:pt idx="48">
                  <c:v>0</c:v>
                </c:pt>
              </c:numCache>
            </c:numRef>
          </c:cat>
          <c:val>
            <c:numRef>
              <c:f>'Overall Metrics'!$I$2:$I$50</c:f>
              <c:numCache>
                <c:formatCode>General</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val>
          <c:extLst>
            <c:ext xmlns:c16="http://schemas.microsoft.com/office/drawing/2014/chart" uri="{C3380CC4-5D6E-409C-BE32-E72D297353CC}">
              <c16:uniqueId val="{00000000-5BEC-4A17-AB4B-9C1263538633}"/>
            </c:ext>
          </c:extLst>
        </c:ser>
        <c:dLbls>
          <c:showLegendKey val="0"/>
          <c:showVal val="0"/>
          <c:showCatName val="0"/>
          <c:showSerName val="0"/>
          <c:showPercent val="0"/>
          <c:showBubbleSize val="0"/>
        </c:dLbls>
        <c:gapWidth val="0"/>
        <c:axId val="-176623264"/>
        <c:axId val="-176609664"/>
      </c:barChart>
      <c:catAx>
        <c:axId val="-176623264"/>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76609664"/>
        <c:crosses val="autoZero"/>
        <c:auto val="1"/>
        <c:lblAlgn val="ctr"/>
        <c:lblOffset val="100"/>
        <c:noMultiLvlLbl val="0"/>
      </c:catAx>
      <c:valAx>
        <c:axId val="-17660966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7662326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Metrics'!$J$2:$J$50</c:f>
              <c:numCache>
                <c:formatCode>#,##0.00</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40">
                  <c:v>0</c:v>
                </c:pt>
                <c:pt idx="41">
                  <c:v>0</c:v>
                </c:pt>
                <c:pt idx="42">
                  <c:v>0</c:v>
                </c:pt>
                <c:pt idx="43">
                  <c:v>0</c:v>
                </c:pt>
                <c:pt idx="44">
                  <c:v>0</c:v>
                </c:pt>
                <c:pt idx="45">
                  <c:v>0</c:v>
                </c:pt>
                <c:pt idx="46">
                  <c:v>0</c:v>
                </c:pt>
                <c:pt idx="47">
                  <c:v>0</c:v>
                </c:pt>
                <c:pt idx="48">
                  <c:v>0</c:v>
                </c:pt>
              </c:numCache>
            </c:numRef>
          </c:cat>
          <c:val>
            <c:numRef>
              <c:f>'Overall Metrics'!$K$2:$K$50</c:f>
              <c:numCache>
                <c:formatCode>General</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val>
          <c:extLst>
            <c:ext xmlns:c16="http://schemas.microsoft.com/office/drawing/2014/chart" uri="{C3380CC4-5D6E-409C-BE32-E72D297353CC}">
              <c16:uniqueId val="{00000000-10A7-443E-9156-FDFCA0C4E868}"/>
            </c:ext>
          </c:extLst>
        </c:ser>
        <c:dLbls>
          <c:showLegendKey val="0"/>
          <c:showVal val="0"/>
          <c:showCatName val="0"/>
          <c:showSerName val="0"/>
          <c:showPercent val="0"/>
          <c:showBubbleSize val="0"/>
        </c:dLbls>
        <c:gapWidth val="0"/>
        <c:axId val="-176622176"/>
        <c:axId val="-176614016"/>
      </c:barChart>
      <c:catAx>
        <c:axId val="-176622176"/>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76614016"/>
        <c:crosses val="autoZero"/>
        <c:auto val="1"/>
        <c:lblAlgn val="ctr"/>
        <c:lblOffset val="100"/>
        <c:noMultiLvlLbl val="0"/>
      </c:catAx>
      <c:valAx>
        <c:axId val="-1766140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76622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Metrics'!$L$2:$L$50</c:f>
              <c:numCache>
                <c:formatCode>#,##0.00</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40">
                  <c:v>0</c:v>
                </c:pt>
                <c:pt idx="41">
                  <c:v>0</c:v>
                </c:pt>
                <c:pt idx="42">
                  <c:v>0</c:v>
                </c:pt>
                <c:pt idx="43">
                  <c:v>0</c:v>
                </c:pt>
                <c:pt idx="44">
                  <c:v>0</c:v>
                </c:pt>
                <c:pt idx="45">
                  <c:v>0</c:v>
                </c:pt>
                <c:pt idx="46">
                  <c:v>0</c:v>
                </c:pt>
                <c:pt idx="47">
                  <c:v>0</c:v>
                </c:pt>
                <c:pt idx="48">
                  <c:v>0</c:v>
                </c:pt>
              </c:numCache>
            </c:numRef>
          </c:cat>
          <c:val>
            <c:numRef>
              <c:f>'Overall Metrics'!$M$2:$M$50</c:f>
              <c:numCache>
                <c:formatCode>General</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val>
          <c:extLst>
            <c:ext xmlns:c16="http://schemas.microsoft.com/office/drawing/2014/chart" uri="{C3380CC4-5D6E-409C-BE32-E72D297353CC}">
              <c16:uniqueId val="{00000000-BC7B-4A05-895A-2C26895508E2}"/>
            </c:ext>
          </c:extLst>
        </c:ser>
        <c:dLbls>
          <c:showLegendKey val="0"/>
          <c:showVal val="0"/>
          <c:showCatName val="0"/>
          <c:showSerName val="0"/>
          <c:showPercent val="0"/>
          <c:showBubbleSize val="0"/>
        </c:dLbls>
        <c:gapWidth val="0"/>
        <c:axId val="-176622720"/>
        <c:axId val="-176620544"/>
      </c:barChart>
      <c:catAx>
        <c:axId val="-176622720"/>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76620544"/>
        <c:crosses val="autoZero"/>
        <c:auto val="1"/>
        <c:lblAlgn val="ctr"/>
        <c:lblOffset val="100"/>
        <c:noMultiLvlLbl val="0"/>
      </c:catAx>
      <c:valAx>
        <c:axId val="-1766205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7662272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Metrics'!$N$2:$N$50</c:f>
              <c:numCache>
                <c:formatCode>#,##0.00</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40">
                  <c:v>0</c:v>
                </c:pt>
                <c:pt idx="41">
                  <c:v>0</c:v>
                </c:pt>
                <c:pt idx="42">
                  <c:v>0</c:v>
                </c:pt>
                <c:pt idx="43">
                  <c:v>0</c:v>
                </c:pt>
                <c:pt idx="44">
                  <c:v>0</c:v>
                </c:pt>
                <c:pt idx="45">
                  <c:v>0</c:v>
                </c:pt>
                <c:pt idx="46">
                  <c:v>0</c:v>
                </c:pt>
                <c:pt idx="47">
                  <c:v>0</c:v>
                </c:pt>
                <c:pt idx="48">
                  <c:v>0</c:v>
                </c:pt>
              </c:numCache>
            </c:numRef>
          </c:cat>
          <c:val>
            <c:numRef>
              <c:f>'Overall Metrics'!$O$2:$O$50</c:f>
              <c:numCache>
                <c:formatCode>General</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val>
          <c:extLst>
            <c:ext xmlns:c16="http://schemas.microsoft.com/office/drawing/2014/chart" uri="{C3380CC4-5D6E-409C-BE32-E72D297353CC}">
              <c16:uniqueId val="{00000000-90DE-46C8-8876-62F2D1E94FD3}"/>
            </c:ext>
          </c:extLst>
        </c:ser>
        <c:dLbls>
          <c:showLegendKey val="0"/>
          <c:showVal val="0"/>
          <c:showCatName val="0"/>
          <c:showSerName val="0"/>
          <c:showPercent val="0"/>
          <c:showBubbleSize val="0"/>
        </c:dLbls>
        <c:gapWidth val="0"/>
        <c:axId val="-176611296"/>
        <c:axId val="-176610208"/>
      </c:barChart>
      <c:catAx>
        <c:axId val="-17661129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76610208"/>
        <c:crosses val="autoZero"/>
        <c:auto val="1"/>
        <c:lblAlgn val="ctr"/>
        <c:lblOffset val="100"/>
        <c:noMultiLvlLbl val="0"/>
      </c:catAx>
      <c:valAx>
        <c:axId val="-1766102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766112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Metrics'!$R$2:$R$50</c:f>
              <c:numCache>
                <c:formatCode>#,##0.00</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40">
                  <c:v>0</c:v>
                </c:pt>
                <c:pt idx="41">
                  <c:v>0</c:v>
                </c:pt>
                <c:pt idx="42">
                  <c:v>0</c:v>
                </c:pt>
                <c:pt idx="43">
                  <c:v>0</c:v>
                </c:pt>
                <c:pt idx="44">
                  <c:v>0</c:v>
                </c:pt>
                <c:pt idx="45">
                  <c:v>0</c:v>
                </c:pt>
                <c:pt idx="46">
                  <c:v>0</c:v>
                </c:pt>
                <c:pt idx="47">
                  <c:v>0</c:v>
                </c:pt>
                <c:pt idx="48">
                  <c:v>0</c:v>
                </c:pt>
              </c:numCache>
            </c:numRef>
          </c:cat>
          <c:val>
            <c:numRef>
              <c:f>'Overall Metrics'!$S$2:$S$50</c:f>
              <c:numCache>
                <c:formatCode>General</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val>
          <c:extLst>
            <c:ext xmlns:c16="http://schemas.microsoft.com/office/drawing/2014/chart" uri="{C3380CC4-5D6E-409C-BE32-E72D297353CC}">
              <c16:uniqueId val="{00000000-7E25-4326-A338-1FC16DBE9855}"/>
            </c:ext>
          </c:extLst>
        </c:ser>
        <c:dLbls>
          <c:showLegendKey val="0"/>
          <c:showVal val="0"/>
          <c:showCatName val="0"/>
          <c:showSerName val="0"/>
          <c:showPercent val="0"/>
          <c:showBubbleSize val="0"/>
        </c:dLbls>
        <c:gapWidth val="0"/>
        <c:axId val="-176621632"/>
        <c:axId val="-176620000"/>
      </c:barChart>
      <c:catAx>
        <c:axId val="-176621632"/>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76620000"/>
        <c:crosses val="autoZero"/>
        <c:auto val="1"/>
        <c:lblAlgn val="ctr"/>
        <c:lblOffset val="100"/>
        <c:noMultiLvlLbl val="0"/>
      </c:catAx>
      <c:valAx>
        <c:axId val="-17662000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7662163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Metrics'!$R$2:$R$50</c:f>
              <c:numCache>
                <c:formatCode>#,##0.00</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40">
                  <c:v>0</c:v>
                </c:pt>
                <c:pt idx="41">
                  <c:v>0</c:v>
                </c:pt>
                <c:pt idx="42">
                  <c:v>0</c:v>
                </c:pt>
                <c:pt idx="43">
                  <c:v>0</c:v>
                </c:pt>
                <c:pt idx="44">
                  <c:v>0</c:v>
                </c:pt>
                <c:pt idx="45">
                  <c:v>0</c:v>
                </c:pt>
                <c:pt idx="46">
                  <c:v>0</c:v>
                </c:pt>
                <c:pt idx="47">
                  <c:v>0</c:v>
                </c:pt>
                <c:pt idx="48">
                  <c:v>0</c:v>
                </c:pt>
              </c:numCache>
            </c:numRef>
          </c:cat>
          <c:val>
            <c:numRef>
              <c:f>'Overall Metrics'!$Q$2:$Q$50</c:f>
              <c:numCache>
                <c:formatCode>General</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val>
          <c:extLst>
            <c:ext xmlns:c16="http://schemas.microsoft.com/office/drawing/2014/chart" uri="{C3380CC4-5D6E-409C-BE32-E72D297353CC}">
              <c16:uniqueId val="{00000000-C808-4A6C-9E1F-0786BB721834}"/>
            </c:ext>
          </c:extLst>
        </c:ser>
        <c:dLbls>
          <c:showLegendKey val="0"/>
          <c:showVal val="0"/>
          <c:showCatName val="0"/>
          <c:showSerName val="0"/>
          <c:showPercent val="0"/>
          <c:showBubbleSize val="0"/>
        </c:dLbls>
        <c:gapWidth val="0"/>
        <c:axId val="-176624896"/>
        <c:axId val="-176618912"/>
      </c:barChart>
      <c:catAx>
        <c:axId val="-176624896"/>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76618912"/>
        <c:crosses val="autoZero"/>
        <c:auto val="1"/>
        <c:lblAlgn val="ctr"/>
        <c:lblOffset val="100"/>
        <c:noMultiLvlLbl val="0"/>
      </c:catAx>
      <c:valAx>
        <c:axId val="-1766189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766248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Metrics'!$T$2:$T$50</c:f>
              <c:numCache>
                <c:formatCode>#,##0.00</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40">
                  <c:v>0</c:v>
                </c:pt>
                <c:pt idx="41">
                  <c:v>0</c:v>
                </c:pt>
                <c:pt idx="42">
                  <c:v>0</c:v>
                </c:pt>
                <c:pt idx="43">
                  <c:v>0</c:v>
                </c:pt>
                <c:pt idx="44">
                  <c:v>0</c:v>
                </c:pt>
                <c:pt idx="45">
                  <c:v>0</c:v>
                </c:pt>
                <c:pt idx="46">
                  <c:v>0</c:v>
                </c:pt>
                <c:pt idx="47">
                  <c:v>0</c:v>
                </c:pt>
                <c:pt idx="48">
                  <c:v>0</c:v>
                </c:pt>
              </c:numCache>
            </c:numRef>
          </c:cat>
          <c:val>
            <c:numRef>
              <c:f>'Overall Metrics'!$U$2:$U$50</c:f>
              <c:numCache>
                <c:formatCode>General</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val>
          <c:extLst>
            <c:ext xmlns:c16="http://schemas.microsoft.com/office/drawing/2014/chart" uri="{C3380CC4-5D6E-409C-BE32-E72D297353CC}">
              <c16:uniqueId val="{00000000-2CA5-402B-AD3C-717363027E39}"/>
            </c:ext>
          </c:extLst>
        </c:ser>
        <c:dLbls>
          <c:showLegendKey val="0"/>
          <c:showVal val="0"/>
          <c:showCatName val="0"/>
          <c:showSerName val="0"/>
          <c:showPercent val="0"/>
          <c:showBubbleSize val="0"/>
        </c:dLbls>
        <c:gapWidth val="0"/>
        <c:axId val="-176624352"/>
        <c:axId val="-176619456"/>
      </c:barChart>
      <c:catAx>
        <c:axId val="-176624352"/>
        <c:scaling>
          <c:orientation val="minMax"/>
        </c:scaling>
        <c:delete val="1"/>
        <c:axPos val="b"/>
        <c:numFmt formatCode="#,##0.00" sourceLinked="1"/>
        <c:majorTickMark val="out"/>
        <c:minorTickMark val="none"/>
        <c:tickLblPos val="none"/>
        <c:crossAx val="-176619456"/>
        <c:crosses val="autoZero"/>
        <c:auto val="1"/>
        <c:lblAlgn val="ctr"/>
        <c:lblOffset val="100"/>
        <c:noMultiLvlLbl val="0"/>
      </c:catAx>
      <c:valAx>
        <c:axId val="-176619456"/>
        <c:scaling>
          <c:orientation val="minMax"/>
        </c:scaling>
        <c:delete val="1"/>
        <c:axPos val="l"/>
        <c:numFmt formatCode="General" sourceLinked="1"/>
        <c:majorTickMark val="out"/>
        <c:minorTickMark val="none"/>
        <c:tickLblPos val="none"/>
        <c:crossAx val="-1766243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57</xdr:row>
      <xdr:rowOff>38100</xdr:rowOff>
    </xdr:from>
    <xdr:to>
      <xdr:col>1</xdr:col>
      <xdr:colOff>918209</xdr:colOff>
      <xdr:row>64</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71</xdr:row>
      <xdr:rowOff>38100</xdr:rowOff>
    </xdr:from>
    <xdr:to>
      <xdr:col>1</xdr:col>
      <xdr:colOff>918209</xdr:colOff>
      <xdr:row>78</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85</xdr:row>
      <xdr:rowOff>28575</xdr:rowOff>
    </xdr:from>
    <xdr:to>
      <xdr:col>1</xdr:col>
      <xdr:colOff>918209</xdr:colOff>
      <xdr:row>92</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99</xdr:row>
      <xdr:rowOff>9525</xdr:rowOff>
    </xdr:from>
    <xdr:to>
      <xdr:col>1</xdr:col>
      <xdr:colOff>918210</xdr:colOff>
      <xdr:row>106</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113</xdr:row>
      <xdr:rowOff>19050</xdr:rowOff>
    </xdr:from>
    <xdr:to>
      <xdr:col>2</xdr:col>
      <xdr:colOff>0</xdr:colOff>
      <xdr:row>120</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127</xdr:row>
      <xdr:rowOff>19050</xdr:rowOff>
    </xdr:from>
    <xdr:to>
      <xdr:col>1</xdr:col>
      <xdr:colOff>918210</xdr:colOff>
      <xdr:row>134</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155</xdr:row>
      <xdr:rowOff>9525</xdr:rowOff>
    </xdr:from>
    <xdr:to>
      <xdr:col>1</xdr:col>
      <xdr:colOff>918210</xdr:colOff>
      <xdr:row>162</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141</xdr:row>
      <xdr:rowOff>0</xdr:rowOff>
    </xdr:from>
    <xdr:to>
      <xdr:col>1</xdr:col>
      <xdr:colOff>918210</xdr:colOff>
      <xdr:row>148</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BB510" totalsRowShown="0" headerRowDxfId="158" dataDxfId="157">
  <autoFilter ref="A2:BB510" xr:uid="{00000000-0009-0000-0100-000001000000}"/>
  <sortState ref="A3:BB510">
    <sortCondition descending="1" ref="P2:P510"/>
  </sortState>
  <tableColumns count="54">
    <tableColumn id="1" xr3:uid="{00000000-0010-0000-0000-000001000000}" name="Vertex 1" dataDxfId="156" dataCellStyle="NodeXL Required"/>
    <tableColumn id="2" xr3:uid="{00000000-0010-0000-0000-000002000000}" name="Vertex 2" dataDxfId="155" dataCellStyle="NodeXL Required"/>
    <tableColumn id="3" xr3:uid="{00000000-0010-0000-0000-000003000000}" name="Color" dataDxfId="154" dataCellStyle="NodeXL Visual Property"/>
    <tableColumn id="4" xr3:uid="{00000000-0010-0000-0000-000004000000}" name="Width" dataDxfId="153" dataCellStyle="NodeXL Visual Property"/>
    <tableColumn id="11" xr3:uid="{00000000-0010-0000-0000-00000B000000}" name="Style" dataDxfId="152" dataCellStyle="NodeXL Visual Property"/>
    <tableColumn id="5" xr3:uid="{00000000-0010-0000-0000-000005000000}" name="Opacity" dataDxfId="151" dataCellStyle="NodeXL Visual Property"/>
    <tableColumn id="6" xr3:uid="{00000000-0010-0000-0000-000006000000}" name="Visibility" dataDxfId="150" dataCellStyle="NodeXL Visual Property"/>
    <tableColumn id="10" xr3:uid="{00000000-0010-0000-0000-00000A000000}" name="Label" dataDxfId="149" dataCellStyle="NodeXL Label"/>
    <tableColumn id="12" xr3:uid="{00000000-0010-0000-0000-00000C000000}" name="Label Text Color" dataDxfId="148" dataCellStyle="NodeXL Label"/>
    <tableColumn id="13" xr3:uid="{00000000-0010-0000-0000-00000D000000}" name="Label Font Size" dataDxfId="147" dataCellStyle="NodeXL Label"/>
    <tableColumn id="14" xr3:uid="{00000000-0010-0000-0000-00000E000000}" name="Reciprocated?" dataDxfId="146" dataCellStyle="NodeXL Graph Metric"/>
    <tableColumn id="7" xr3:uid="{00000000-0010-0000-0000-000007000000}" name="ID" dataDxfId="145" dataCellStyle="NodeXL Do Not Edit"/>
    <tableColumn id="9" xr3:uid="{00000000-0010-0000-0000-000009000000}" name="Dynamic Filter" dataDxfId="144" dataCellStyle="NodeXL Do Not Edit"/>
    <tableColumn id="8" xr3:uid="{00000000-0010-0000-0000-000008000000}" name="Add Your Own Columns Here" dataDxfId="143" dataCellStyle="NodeXL Other Column"/>
    <tableColumn id="15" xr3:uid="{C8FC6BB1-8187-4888-9536-F758C2F961B1}" name="Relationship" dataDxfId="142" dataCellStyle="Normal"/>
    <tableColumn id="16" xr3:uid="{C25F5D6D-CC42-4FBB-847C-77514739E61A}" name="Relationship Date (UTC)" dataDxfId="141" dataCellStyle="Normal"/>
    <tableColumn id="17" xr3:uid="{90485C8B-9E54-4EAE-83DB-488DF5E27B16}" name="Tweet" dataDxfId="140" dataCellStyle="Normal"/>
    <tableColumn id="18" xr3:uid="{F3AEDB66-B9F8-42AD-A43A-D09DC9267185}" name="URLs in Tweet" dataDxfId="139" dataCellStyle="Normal"/>
    <tableColumn id="19" xr3:uid="{B5EDEF94-80FB-4593-BB82-16CC372DB963}" name="Domains in Tweet" dataDxfId="138" dataCellStyle="Normal"/>
    <tableColumn id="20" xr3:uid="{4883DDB0-A030-4F15-A7EA-1691BE96B8BF}" name="Hashtags in Tweet" dataDxfId="137" dataCellStyle="Normal"/>
    <tableColumn id="21" xr3:uid="{9CC48313-CD4A-42EA-834C-7637BF44E066}" name="Media in Tweet" dataDxfId="136" dataCellStyle="Normal"/>
    <tableColumn id="22" xr3:uid="{B49DE59A-68D7-4E99-A311-E5A23C0892C2}" name="Tweet Image File" dataDxfId="135" dataCellStyle="Normal"/>
    <tableColumn id="23" xr3:uid="{24155711-A0AA-4055-BD23-E7FBBEBF6EAE}" name="Tweet Date (UTC)" dataDxfId="134" dataCellStyle="Normal"/>
    <tableColumn id="24" xr3:uid="{918DE15F-8458-4CA5-A3C7-76499F3289E1}" name="Date" dataDxfId="133" dataCellStyle="Normal"/>
    <tableColumn id="25" xr3:uid="{97A32BFB-68AA-485A-965A-3AD8AF659203}" name="Time" dataDxfId="132" dataCellStyle="Normal"/>
    <tableColumn id="26" xr3:uid="{E2471DEA-1ED5-4370-A5BD-E497DF2C2AC6}" name="Twitter Page for Tweet" dataDxfId="131" dataCellStyle="Normal"/>
    <tableColumn id="27" xr3:uid="{B9D129FE-A1E7-4320-92ED-3E612703C1C2}" name="Latitude" dataDxfId="130" dataCellStyle="Normal"/>
    <tableColumn id="28" xr3:uid="{19DD1C1C-80E5-40A7-BB95-D220D1F3FB81}" name="Longitude" dataDxfId="129" dataCellStyle="Normal"/>
    <tableColumn id="29" xr3:uid="{430C8F3F-A194-4AE3-AAD8-1E6ABD7EFDC6}" name="Imported ID" dataDxfId="128" dataCellStyle="Normal"/>
    <tableColumn id="30" xr3:uid="{FCE01B72-6645-4410-9B8D-AAE402536DD0}" name="In-Reply-To Tweet ID" dataDxfId="127" dataCellStyle="Normal"/>
    <tableColumn id="31" xr3:uid="{03504A24-C428-4700-B3F4-8E0A3D84DB80}" name="Favorited" dataDxfId="126" dataCellStyle="Normal"/>
    <tableColumn id="32" xr3:uid="{3F77A8A1-C447-4E27-B0FD-0EEF8E3D133A}" name="Favorite Count" dataDxfId="125" dataCellStyle="Normal"/>
    <tableColumn id="33" xr3:uid="{D06FBEE7-423D-4726-89AD-EA8DDEC4CCAB}" name="In-Reply-To User ID" dataDxfId="124" dataCellStyle="Normal"/>
    <tableColumn id="34" xr3:uid="{517B84D7-722E-454A-831F-342BFEBF1EE2}" name="Is Quote Status" dataDxfId="123" dataCellStyle="Normal"/>
    <tableColumn id="35" xr3:uid="{DD556B6C-0605-4895-80FA-4EC2BEB13876}" name="Language" dataDxfId="122" dataCellStyle="Normal"/>
    <tableColumn id="36" xr3:uid="{EC75BC2B-F1DE-40E9-8B53-E7B4B0E22A3D}" name="Possibly Sensitive" dataDxfId="121" dataCellStyle="Normal"/>
    <tableColumn id="37" xr3:uid="{50EB3D2A-9EB9-45A6-9BDE-732EACA1FBAC}" name="Quoted Status ID" dataDxfId="120" dataCellStyle="Normal"/>
    <tableColumn id="38" xr3:uid="{49D082D8-112E-4930-A0A1-E868DC0A659A}" name="Retweeted" dataDxfId="119" dataCellStyle="Normal"/>
    <tableColumn id="39" xr3:uid="{F3364AFE-96A1-43BC-90DA-123D83E39389}" name="Retweet Count" dataDxfId="118" dataCellStyle="Normal"/>
    <tableColumn id="40" xr3:uid="{ED6DA2BE-1317-4E44-A2FA-ED8051094AE4}" name="Retweet ID" dataDxfId="117" dataCellStyle="Normal"/>
    <tableColumn id="41" xr3:uid="{6938C80A-2E26-4D00-A5C3-03221E7566E7}" name="Source" dataDxfId="116" dataCellStyle="Normal"/>
    <tableColumn id="42" xr3:uid="{5CD3E836-A628-41A2-9FE4-0039A43918ED}" name="Truncated" dataDxfId="115" dataCellStyle="Normal"/>
    <tableColumn id="43" xr3:uid="{A59CD701-B76D-49A8-8C7B-BB9B8A3C5FA5}" name="Unified Twitter ID" dataDxfId="114" dataCellStyle="Normal"/>
    <tableColumn id="44" xr3:uid="{799634D7-8506-41BD-A6EE-0954CECDB90C}" name="Imported Tweet Type" dataDxfId="113" dataCellStyle="Normal"/>
    <tableColumn id="45" xr3:uid="{E0E2C066-8D78-4F30-914B-0A11465D6569}" name="Added By Extended Analysis" dataDxfId="112" dataCellStyle="Normal"/>
    <tableColumn id="46" xr3:uid="{847B0867-C74E-4CC4-8DD0-63C69C0BE34B}" name="Corrected By Extended Analysis" dataDxfId="111" dataCellStyle="Normal"/>
    <tableColumn id="47" xr3:uid="{806899CC-EEBF-43C7-B373-3A3D2CEE07A3}" name="Place Bounding Box" dataDxfId="110" dataCellStyle="Normal"/>
    <tableColumn id="48" xr3:uid="{90A88B45-EFCE-467A-94EC-E88BDBFD8626}" name="Place Country" dataDxfId="109" dataCellStyle="Normal"/>
    <tableColumn id="49" xr3:uid="{7FF5BE7F-E953-4EAC-895D-5A3785BBE750}" name="Place Country Code" dataDxfId="108" dataCellStyle="Normal"/>
    <tableColumn id="50" xr3:uid="{1825D495-2420-47CF-AAD3-3C576BE57856}" name="Place Full Name" dataDxfId="107" dataCellStyle="Normal"/>
    <tableColumn id="51" xr3:uid="{1140690D-A92C-4CFD-A047-12033ED8EF8F}" name="Place ID" dataDxfId="106" dataCellStyle="Normal"/>
    <tableColumn id="52" xr3:uid="{954D982B-3C7E-49E7-860C-B0FB59BA6C7F}" name="Place Name" dataDxfId="105" dataCellStyle="Normal"/>
    <tableColumn id="53" xr3:uid="{923234EC-0E90-49A7-AF73-8F7DDD261031}" name="Place Type" dataDxfId="104" dataCellStyle="Normal"/>
    <tableColumn id="54" xr3:uid="{A3259E8D-A72E-46EF-92FA-094883EC14A2}" name="Place URL" dataDxfId="103" dataCellStyle="Normal"/>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0">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Z285" totalsRowShown="0" headerRowDxfId="102" dataDxfId="101">
  <autoFilter ref="A2:AZ285" xr:uid="{00000000-0009-0000-0100-000002000000}"/>
  <tableColumns count="52">
    <tableColumn id="1" xr3:uid="{00000000-0010-0000-0100-000001000000}" name="Vertex" dataDxfId="100" dataCellStyle="NodeXL Required"/>
    <tableColumn id="2" xr3:uid="{00000000-0010-0000-0100-000002000000}" name="Color" dataDxfId="99" dataCellStyle="NodeXL Visual Property"/>
    <tableColumn id="5" xr3:uid="{00000000-0010-0000-0100-000005000000}" name="Shape" dataDxfId="98" dataCellStyle="NodeXL Visual Property"/>
    <tableColumn id="6" xr3:uid="{00000000-0010-0000-0100-000006000000}" name="Size" dataDxfId="97" dataCellStyle="NodeXL Visual Property"/>
    <tableColumn id="4" xr3:uid="{00000000-0010-0000-0100-000004000000}" name="Opacity" dataDxfId="96" dataCellStyle="NodeXL Visual Property"/>
    <tableColumn id="7" xr3:uid="{00000000-0010-0000-0100-000007000000}" name="Image File" dataDxfId="95" dataCellStyle="NodeXL Visual Property"/>
    <tableColumn id="3" xr3:uid="{00000000-0010-0000-0100-000003000000}" name="Visibility" dataDxfId="94" dataCellStyle="NodeXL Visual Property"/>
    <tableColumn id="10" xr3:uid="{00000000-0010-0000-0100-00000A000000}" name="Label" dataDxfId="93" dataCellStyle="NodeXL Label"/>
    <tableColumn id="16" xr3:uid="{00000000-0010-0000-0100-000010000000}" name="Label Fill Color" dataDxfId="92" dataCellStyle="NodeXL Label"/>
    <tableColumn id="9" xr3:uid="{00000000-0010-0000-0100-000009000000}" name="Label Position" dataDxfId="91" dataCellStyle="NodeXL Label"/>
    <tableColumn id="8" xr3:uid="{00000000-0010-0000-0100-000008000000}" name="Tooltip" dataDxfId="90" dataCellStyle="NodeXL Label"/>
    <tableColumn id="18" xr3:uid="{00000000-0010-0000-0100-000012000000}" name="Layout Order" dataDxfId="89" dataCellStyle="NodeXL Layout"/>
    <tableColumn id="13" xr3:uid="{00000000-0010-0000-0100-00000D000000}" name="X" dataDxfId="88" dataCellStyle="NodeXL Layout"/>
    <tableColumn id="14" xr3:uid="{00000000-0010-0000-0100-00000E000000}" name="Y" dataDxfId="87" dataCellStyle="NodeXL Layout"/>
    <tableColumn id="12" xr3:uid="{00000000-0010-0000-0100-00000C000000}" name="Locked?" dataDxfId="86" dataCellStyle="NodeXL Layout"/>
    <tableColumn id="19" xr3:uid="{00000000-0010-0000-0100-000013000000}" name="Polar R" dataDxfId="85" dataCellStyle="NodeXL Layout"/>
    <tableColumn id="20" xr3:uid="{00000000-0010-0000-0100-000014000000}" name="Polar Angle" dataDxfId="84" dataCellStyle="NodeXL Layout"/>
    <tableColumn id="21" xr3:uid="{00000000-0010-0000-0100-000015000000}" name="Degree" dataDxfId="83" dataCellStyle="NodeXL Graph Metric"/>
    <tableColumn id="22" xr3:uid="{00000000-0010-0000-0100-000016000000}" name="In-Degree" dataDxfId="82" dataCellStyle="NodeXL Graph Metric"/>
    <tableColumn id="23" xr3:uid="{00000000-0010-0000-0100-000017000000}" name="Out-Degree" dataDxfId="81" dataCellStyle="NodeXL Graph Metric"/>
    <tableColumn id="24" xr3:uid="{00000000-0010-0000-0100-000018000000}" name="Betweenness Centrality" dataDxfId="80" dataCellStyle="NodeXL Graph Metric"/>
    <tableColumn id="25" xr3:uid="{00000000-0010-0000-0100-000019000000}" name="Closeness Centrality" dataDxfId="79" dataCellStyle="NodeXL Graph Metric"/>
    <tableColumn id="26" xr3:uid="{00000000-0010-0000-0100-00001A000000}" name="Eigenvector Centrality" dataDxfId="78" dataCellStyle="NodeXL Graph Metric"/>
    <tableColumn id="15" xr3:uid="{00000000-0010-0000-0100-00000F000000}" name="PageRank" dataDxfId="77" dataCellStyle="NodeXL Graph Metric"/>
    <tableColumn id="27" xr3:uid="{00000000-0010-0000-0100-00001B000000}" name="Clustering Coefficient" dataDxfId="76" dataCellStyle="NodeXL Graph Metric"/>
    <tableColumn id="29" xr3:uid="{00000000-0010-0000-0100-00001D000000}" name="Reciprocated Vertex Pair Ratio" dataDxfId="75" dataCellStyle="NodeXL Graph Metric"/>
    <tableColumn id="11" xr3:uid="{00000000-0010-0000-0100-00000B000000}" name="ID" dataDxfId="74" dataCellStyle="NodeXL Do Not Edit"/>
    <tableColumn id="28" xr3:uid="{00000000-0010-0000-0100-00001C000000}" name="Dynamic Filter" dataDxfId="73" dataCellStyle="NodeXL Do Not Edit"/>
    <tableColumn id="17" xr3:uid="{00000000-0010-0000-0100-000011000000}" name="Add Your Own Columns Here" dataDxfId="72" dataCellStyle="NodeXL Other Column"/>
    <tableColumn id="30" xr3:uid="{6A08E6E3-262F-4047-9992-A3A563810DBC}" name="Name" dataDxfId="71" dataCellStyle="Normal"/>
    <tableColumn id="31" xr3:uid="{48F80F53-A289-4B40-BC6D-09EA6381AF48}" name="User ID" dataDxfId="70" dataCellStyle="Normal"/>
    <tableColumn id="32" xr3:uid="{DCC4B4B6-4B39-4EB9-AD84-5E7BCD012817}" name="Followed" dataDxfId="69" dataCellStyle="Normal"/>
    <tableColumn id="33" xr3:uid="{147DB8AE-DCE7-44B3-9CD2-6668F6225023}" name="Followers" dataDxfId="68" dataCellStyle="Normal"/>
    <tableColumn id="34" xr3:uid="{751FEB49-4FED-4B7F-ABF4-9F21BF8D21B6}" name="Tweets" dataDxfId="67" dataCellStyle="Normal"/>
    <tableColumn id="35" xr3:uid="{49DCB3DE-5C91-42D7-B5C2-F2D17C0D9932}" name="Favorites" dataDxfId="66" dataCellStyle="Normal"/>
    <tableColumn id="36" xr3:uid="{F695712E-AEAF-4706-AECC-805E283C982F}" name="Time Zone UTC Offset (Seconds)" dataDxfId="65" dataCellStyle="Normal"/>
    <tableColumn id="37" xr3:uid="{02B6E416-EA07-457B-BCEE-FF883369EE7B}" name="Description" dataDxfId="64" dataCellStyle="Normal"/>
    <tableColumn id="38" xr3:uid="{B56E0A55-283E-40CE-A386-474661006567}" name="Location" dataDxfId="63" dataCellStyle="Normal"/>
    <tableColumn id="39" xr3:uid="{7876FEDE-212C-4039-89D7-99E2258F7A04}" name="Web" dataDxfId="62" dataCellStyle="Normal"/>
    <tableColumn id="40" xr3:uid="{B0A24910-7ABC-47B9-89CE-5C072CDDD1EA}" name="Time Zone" dataDxfId="61" dataCellStyle="Normal"/>
    <tableColumn id="41" xr3:uid="{B1E58B9C-D7AA-46BB-B2E4-74D61E5111DF}" name="Joined Twitter Date (UTC)" dataDxfId="60" dataCellStyle="Normal"/>
    <tableColumn id="42" xr3:uid="{DB88D0C0-DE92-4FC3-8D36-188CFCBC58CF}" name="Profile Banner Url" dataDxfId="59" dataCellStyle="Normal"/>
    <tableColumn id="43" xr3:uid="{E5547DA0-92BA-4C04-B06A-48FF7ED36F63}" name="Default Profile" dataDxfId="58" dataCellStyle="Normal"/>
    <tableColumn id="44" xr3:uid="{6D504CB1-B779-4D59-89A4-9361F7489D99}" name="Default Profile Image" dataDxfId="57" dataCellStyle="Normal"/>
    <tableColumn id="45" xr3:uid="{55109A54-51A2-45B7-9EFB-A559C3B4F230}" name="Geo Enabled" dataDxfId="56" dataCellStyle="Normal"/>
    <tableColumn id="46" xr3:uid="{E6CC6EA8-61AF-48BA-BB5F-2A65558B5A0F}" name="Language" dataDxfId="55" dataCellStyle="Normal"/>
    <tableColumn id="47" xr3:uid="{881484BD-DDB2-4CCF-93C3-BF1FA6A96EB6}" name="Listed Count" dataDxfId="54" dataCellStyle="Normal"/>
    <tableColumn id="48" xr3:uid="{5F0501FB-0551-4D97-A9E0-61CB39A80B6D}" name="Profile Background Image Url" dataDxfId="53" dataCellStyle="Normal"/>
    <tableColumn id="49" xr3:uid="{86EC5A31-630E-4E3A-A898-60BCD98EF59F}" name="Verified" dataDxfId="52" dataCellStyle="Normal"/>
    <tableColumn id="50" xr3:uid="{00ED461C-2FE1-4C59-8807-2E1B3D1CE5FB}" name="Custom Menu Item Text" dataDxfId="51" dataCellStyle="Normal"/>
    <tableColumn id="51" xr3:uid="{F61211BE-E9E5-4F17-A7F7-ED0102A8107D}" name="Custom Menu Item Action" dataDxfId="50" dataCellStyle="Normal"/>
    <tableColumn id="52" xr3:uid="{28C8E09D-13E9-466A-A91D-C93655BE94C6}" name="Tweeted Search Term?" dataDxfId="49" dataCellStyle="Normal"/>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X3" insertRow="1" totalsRowShown="0" headerRowDxfId="48">
  <autoFilter ref="A2:X3" xr:uid="{00000000-0009-0000-0100-000004000000}"/>
  <tableColumns count="24">
    <tableColumn id="1" xr3:uid="{00000000-0010-0000-0200-000001000000}" name="Group" dataDxfId="47" dataCellStyle="NodeXL Required"/>
    <tableColumn id="2" xr3:uid="{00000000-0010-0000-0200-000002000000}" name="Vertex Color" dataDxfId="46" dataCellStyle="NodeXL Visual Property"/>
    <tableColumn id="3" xr3:uid="{00000000-0010-0000-0200-000003000000}" name="Vertex Shape" dataDxfId="45" dataCellStyle="NodeXL Visual Property"/>
    <tableColumn id="22" xr3:uid="{00000000-0010-0000-0200-000016000000}" name="Visibility" dataDxfId="44" dataCellStyle="NodeXL Visual Property"/>
    <tableColumn id="4" xr3:uid="{00000000-0010-0000-0200-000004000000}" name="Collapsed?" dataCellStyle="NodeXL Visual Property"/>
    <tableColumn id="18" xr3:uid="{00000000-0010-0000-0200-000012000000}" name="Label" dataDxfId="43"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42" dataCellStyle="NodeXL Do Not Edit"/>
    <tableColumn id="19" xr3:uid="{00000000-0010-0000-0200-000013000000}" name="Collapsed Properties" dataDxfId="41" dataCellStyle="NodeXL Do Not Edit"/>
    <tableColumn id="5" xr3:uid="{00000000-0010-0000-0200-000005000000}" name="Vertices" dataDxfId="40" dataCellStyle="NodeXL Graph Metric"/>
    <tableColumn id="7" xr3:uid="{00000000-0010-0000-0200-000007000000}" name="Unique Edges" dataDxfId="39" dataCellStyle="NodeXL Graph Metric"/>
    <tableColumn id="8" xr3:uid="{00000000-0010-0000-0200-000008000000}" name="Edges With Duplicates" dataDxfId="38" dataCellStyle="NodeXL Graph Metric"/>
    <tableColumn id="9" xr3:uid="{00000000-0010-0000-0200-000009000000}" name="Total Edges" dataDxfId="37" dataCellStyle="NodeXL Graph Metric"/>
    <tableColumn id="10" xr3:uid="{00000000-0010-0000-0200-00000A000000}" name="Self-Loops" dataDxfId="36" dataCellStyle="NodeXL Graph Metric"/>
    <tableColumn id="24" xr3:uid="{00000000-0010-0000-0200-000018000000}" name="Reciprocated Vertex Pair Ratio" dataDxfId="35" dataCellStyle="NodeXL Graph Metric"/>
    <tableColumn id="25" xr3:uid="{00000000-0010-0000-0200-000019000000}" name="Reciprocated Edge Ratio" dataDxfId="34" dataCellStyle="NodeXL Graph Metric"/>
    <tableColumn id="11" xr3:uid="{00000000-0010-0000-0200-00000B000000}" name="Connected Components" dataDxfId="33" dataCellStyle="NodeXL Graph Metric"/>
    <tableColumn id="12" xr3:uid="{00000000-0010-0000-0200-00000C000000}" name="Single-Vertex Connected Components" dataDxfId="32" dataCellStyle="NodeXL Graph Metric"/>
    <tableColumn id="13" xr3:uid="{00000000-0010-0000-0200-00000D000000}" name="Maximum Vertices in a Connected Component" dataDxfId="31" dataCellStyle="NodeXL Graph Metric"/>
    <tableColumn id="14" xr3:uid="{00000000-0010-0000-0200-00000E000000}" name="Maximum Edges in a Connected Component" dataDxfId="30" dataCellStyle="NodeXL Graph Metric"/>
    <tableColumn id="15" xr3:uid="{00000000-0010-0000-0200-00000F000000}" name="Maximum Geodesic Distance (Diameter)" dataDxfId="29" dataCellStyle="NodeXL Graph Metric"/>
    <tableColumn id="16" xr3:uid="{00000000-0010-0000-0200-000010000000}" name="Average Geodesic Distance" dataDxfId="28" dataCellStyle="NodeXL Graph Metric"/>
    <tableColumn id="17" xr3:uid="{00000000-0010-0000-0200-000011000000}" name="Graph Density" dataDxfId="27" dataCellStyle="NodeXL Graph Metric"/>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 totalsRowShown="0" headerRowDxfId="26" dataDxfId="25">
  <autoFilter ref="A1:C2" xr:uid="{00000000-0009-0000-0100-000005000000}"/>
  <tableColumns count="3">
    <tableColumn id="1" xr3:uid="{00000000-0010-0000-0300-000001000000}" name="Group" dataDxfId="24"/>
    <tableColumn id="2" xr3:uid="{00000000-0010-0000-0300-000002000000}" name="Vertex" dataDxfId="23"/>
    <tableColumn id="3" xr3:uid="{00000000-0010-0000-0300-000003000000}" name="Vertex ID" dataDxfId="22"/>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2" insertRow="1" totalsRowShown="0" dataCellStyle="NodeXL Graph Metric">
  <autoFilter ref="A1:B2" xr:uid="{00000000-0009-0000-0100-000006000000}"/>
  <tableColumns count="2">
    <tableColumn id="1" xr3:uid="{00000000-0010-0000-0400-000001000000}" name="Graph Metric" dataDxfId="21" dataCellStyle="NodeXL Graph Metric"/>
    <tableColumn id="2" xr3:uid="{00000000-0010-0000-0400-000002000000}" name="Value" dataDxfId="20"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50" totalsRowShown="0">
  <autoFilter ref="D1:U50" xr:uid="{00000000-0009-0000-0100-000003000000}"/>
  <tableColumns count="18">
    <tableColumn id="1" xr3:uid="{00000000-0010-0000-0500-000001000000}" name="Degree Bin" dataDxfId="19"/>
    <tableColumn id="2" xr3:uid="{00000000-0010-0000-0500-000002000000}" name="Degree Frequency" dataDxfId="18">
      <calculatedColumnFormula>COUNTIF(Vertices[Degree], "&gt;= " &amp; D2) - COUNTIF(Vertices[Degree], "&gt;=" &amp; D3)</calculatedColumnFormula>
    </tableColumn>
    <tableColumn id="3" xr3:uid="{00000000-0010-0000-0500-000003000000}" name="In-Degree Bin" dataDxfId="17"/>
    <tableColumn id="4" xr3:uid="{00000000-0010-0000-0500-000004000000}" name="In-Degree Frequency" dataDxfId="16">
      <calculatedColumnFormula>COUNTIF(Vertices[In-Degree], "&gt;= " &amp; F2) - COUNTIF(Vertices[In-Degree], "&gt;=" &amp; F3)</calculatedColumnFormula>
    </tableColumn>
    <tableColumn id="5" xr3:uid="{00000000-0010-0000-0500-000005000000}" name="Out-Degree Bin" dataDxfId="15"/>
    <tableColumn id="6" xr3:uid="{00000000-0010-0000-0500-000006000000}" name="Out-Degree Frequency" dataDxfId="14">
      <calculatedColumnFormula>COUNTIF(Vertices[Out-Degree], "&gt;= " &amp; H2) - COUNTIF(Vertices[Out-Degree], "&gt;=" &amp; H3)</calculatedColumnFormula>
    </tableColumn>
    <tableColumn id="7" xr3:uid="{00000000-0010-0000-0500-000007000000}" name="Betweenness Centrality Bin" dataDxfId="13"/>
    <tableColumn id="8" xr3:uid="{00000000-0010-0000-0500-000008000000}" name="Betweenness Centrality Frequency" dataDxfId="12">
      <calculatedColumnFormula>COUNTIF(Vertices[Betweenness Centrality], "&gt;= " &amp; J2) - COUNTIF(Vertices[Betweenness Centrality], "&gt;=" &amp; J3)</calculatedColumnFormula>
    </tableColumn>
    <tableColumn id="9" xr3:uid="{00000000-0010-0000-0500-000009000000}" name="Closeness Centrality Bin" dataDxfId="11"/>
    <tableColumn id="10" xr3:uid="{00000000-0010-0000-0500-00000A000000}" name="Closeness Centrality Frequency" dataDxfId="10">
      <calculatedColumnFormula>COUNTIF(Vertices[Closeness Centrality], "&gt;= " &amp; L2) - COUNTIF(Vertices[Closeness Centrality], "&gt;=" &amp; L3)</calculatedColumnFormula>
    </tableColumn>
    <tableColumn id="11" xr3:uid="{00000000-0010-0000-0500-00000B000000}" name="Eigenvector Centrality Bin" dataDxfId="9"/>
    <tableColumn id="12" xr3:uid="{00000000-0010-0000-0500-00000C000000}" name="Eigenvector Centrality Frequency" dataDxfId="8">
      <calculatedColumnFormula>COUNTIF(Vertices[Eigenvector Centrality], "&gt;= " &amp; N2) - COUNTIF(Vertices[Eigenvector Centrality], "&gt;=" &amp; N3)</calculatedColumnFormula>
    </tableColumn>
    <tableColumn id="18" xr3:uid="{00000000-0010-0000-0500-000012000000}" name="PageRank Bin" dataDxfId="7"/>
    <tableColumn id="17" xr3:uid="{00000000-0010-0000-0500-000011000000}" name="PageRank Frequency" dataDxfId="6">
      <calculatedColumnFormula>COUNTIF(Vertices[Eigenvector Centrality], "&gt;= " &amp; P2) - COUNTIF(Vertices[Eigenvector Centrality], "&gt;=" &amp; P3)</calculatedColumnFormula>
    </tableColumn>
    <tableColumn id="13" xr3:uid="{00000000-0010-0000-0500-00000D000000}" name="Clustering Coefficient Bin" dataDxfId="5"/>
    <tableColumn id="14" xr3:uid="{00000000-0010-0000-0500-00000E000000}" name="Clustering Coefficient Frequency" dataDxfId="4">
      <calculatedColumnFormula>COUNTIF(Vertices[Clustering Coefficient], "&gt;= " &amp; R2) - COUNTIF(Vertices[Clustering Coefficient], "&gt;=" &amp; R3)</calculatedColumnFormula>
    </tableColumn>
    <tableColumn id="15" xr3:uid="{00000000-0010-0000-0500-00000F000000}" name="Dynamic Filter Bin" dataDxfId="3"/>
    <tableColumn id="16" xr3:uid="{00000000-0010-0000-0500-000010000000}" name="Dynamic Filter Frequency" dataDxfId="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52:B53" insertRow="1" totalsRowShown="0" dataCellStyle="NodeXL Graph Metric">
  <autoFilter ref="A52:B53"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8" totalsRowShown="0" headerRowDxfId="1">
  <autoFilter ref="J1:K8"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B510"/>
  <sheetViews>
    <sheetView tabSelected="1" workbookViewId="0">
      <pane xSplit="2" ySplit="2" topLeftCell="O52" activePane="bottomRight" state="frozen"/>
      <selection pane="topRight" activeCell="C1" sqref="C1"/>
      <selection pane="bottomLeft" activeCell="A3" sqref="A3"/>
      <selection pane="bottomRight" activeCell="B146" sqref="B146"/>
    </sheetView>
  </sheetViews>
  <sheetFormatPr baseColWidth="10" defaultColWidth="8.83203125" defaultRowHeight="15" x14ac:dyDescent="0.2"/>
  <cols>
    <col min="1" max="1" width="13.5" style="1" customWidth="1"/>
    <col min="2" max="2" width="14.5" style="1" customWidth="1"/>
    <col min="3" max="3" width="7.83203125" style="3" bestFit="1" customWidth="1"/>
    <col min="4" max="4" width="8.6640625" style="2" bestFit="1" customWidth="1"/>
    <col min="5" max="5" width="7.6640625" style="2" bestFit="1" customWidth="1"/>
    <col min="6" max="6" width="9.83203125" style="2" bestFit="1" customWidth="1"/>
    <col min="7" max="7" width="11" style="3" bestFit="1" customWidth="1"/>
    <col min="8" max="8" width="8" style="1" bestFit="1" customWidth="1"/>
    <col min="9" max="9" width="12.33203125" style="3" bestFit="1" customWidth="1"/>
    <col min="10" max="10" width="12.5" style="3" bestFit="1" customWidth="1"/>
    <col min="11" max="11" width="15.5" style="3" hidden="1" customWidth="1"/>
    <col min="12" max="12" width="11" hidden="1" customWidth="1"/>
    <col min="13" max="13" width="10.83203125" hidden="1" customWidth="1"/>
    <col min="14" max="14" width="16" bestFit="1" customWidth="1"/>
    <col min="15" max="15" width="12.6640625" bestFit="1" customWidth="1"/>
    <col min="16" max="16" width="14.83203125" bestFit="1" customWidth="1"/>
    <col min="17" max="17" width="8.83203125" bestFit="1" customWidth="1"/>
    <col min="18" max="18" width="10" bestFit="1" customWidth="1"/>
    <col min="19" max="19" width="13.5" bestFit="1" customWidth="1"/>
    <col min="20" max="20" width="13.6640625" bestFit="1" customWidth="1"/>
    <col min="21" max="21" width="11.5" bestFit="1" customWidth="1"/>
    <col min="22" max="22" width="12.5" bestFit="1" customWidth="1"/>
    <col min="23" max="23" width="13.83203125" bestFit="1" customWidth="1"/>
    <col min="24" max="24" width="7.5" bestFit="1" customWidth="1"/>
    <col min="25" max="25" width="7.6640625" bestFit="1" customWidth="1"/>
    <col min="26" max="26" width="14.83203125" bestFit="1" customWidth="1"/>
    <col min="27" max="27" width="10.5" bestFit="1" customWidth="1"/>
    <col min="28" max="28" width="12.1640625" bestFit="1" customWidth="1"/>
    <col min="29" max="29" width="12" bestFit="1" customWidth="1"/>
    <col min="30" max="30" width="14" bestFit="1" customWidth="1"/>
    <col min="31" max="31" width="11.6640625" bestFit="1" customWidth="1"/>
    <col min="32" max="32" width="11" bestFit="1" customWidth="1"/>
    <col min="33" max="33" width="14" bestFit="1" customWidth="1"/>
    <col min="34" max="34" width="11.1640625" bestFit="1" customWidth="1"/>
    <col min="35" max="36" width="11.5" bestFit="1" customWidth="1"/>
    <col min="37" max="37" width="11" bestFit="1" customWidth="1"/>
    <col min="38" max="38" width="13.1640625" bestFit="1" customWidth="1"/>
    <col min="39" max="39" width="11.33203125" bestFit="1" customWidth="1"/>
    <col min="40" max="40" width="13.1640625" bestFit="1" customWidth="1"/>
    <col min="41" max="41" width="9.33203125" bestFit="1" customWidth="1"/>
    <col min="42" max="42" width="12.1640625" bestFit="1" customWidth="1"/>
    <col min="43" max="43" width="12" bestFit="1" customWidth="1"/>
    <col min="44" max="44" width="13.5" bestFit="1" customWidth="1"/>
    <col min="45" max="45" width="21.33203125" bestFit="1" customWidth="1"/>
    <col min="46" max="46" width="19.6640625" bestFit="1" customWidth="1"/>
    <col min="47" max="47" width="17.5" bestFit="1" customWidth="1"/>
    <col min="48" max="48" width="10.33203125" bestFit="1" customWidth="1"/>
    <col min="49" max="49" width="16" bestFit="1" customWidth="1"/>
    <col min="50" max="50" width="12.1640625" bestFit="1" customWidth="1"/>
    <col min="51" max="51" width="10.33203125" bestFit="1" customWidth="1"/>
    <col min="52" max="54" width="8.5" bestFit="1" customWidth="1"/>
  </cols>
  <sheetData>
    <row r="1" spans="1:54" x14ac:dyDescent="0.2">
      <c r="C1" s="18" t="s">
        <v>39</v>
      </c>
      <c r="D1" s="19"/>
      <c r="E1" s="19"/>
      <c r="F1" s="19"/>
      <c r="G1" s="18"/>
      <c r="H1" s="16" t="s">
        <v>43</v>
      </c>
      <c r="I1" s="54"/>
      <c r="J1" s="54"/>
      <c r="K1" s="35" t="s">
        <v>42</v>
      </c>
      <c r="L1" s="20" t="s">
        <v>40</v>
      </c>
      <c r="M1" s="20"/>
      <c r="N1" s="17" t="s">
        <v>41</v>
      </c>
    </row>
    <row r="2" spans="1:54" ht="30" customHeight="1" x14ac:dyDescent="0.2">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c r="AA2" s="13" t="s">
        <v>189</v>
      </c>
      <c r="AB2" s="13" t="s">
        <v>190</v>
      </c>
      <c r="AC2" s="13" t="s">
        <v>191</v>
      </c>
      <c r="AD2" s="13" t="s">
        <v>192</v>
      </c>
      <c r="AE2" s="13" t="s">
        <v>193</v>
      </c>
      <c r="AF2" s="13" t="s">
        <v>194</v>
      </c>
      <c r="AG2" s="13" t="s">
        <v>195</v>
      </c>
      <c r="AH2" s="13" t="s">
        <v>196</v>
      </c>
      <c r="AI2" s="13" t="s">
        <v>197</v>
      </c>
      <c r="AJ2" s="13" t="s">
        <v>198</v>
      </c>
      <c r="AK2" s="13" t="s">
        <v>199</v>
      </c>
      <c r="AL2" s="13" t="s">
        <v>200</v>
      </c>
      <c r="AM2" s="13" t="s">
        <v>201</v>
      </c>
      <c r="AN2" s="13" t="s">
        <v>202</v>
      </c>
      <c r="AO2" s="13" t="s">
        <v>203</v>
      </c>
      <c r="AP2" s="13" t="s">
        <v>204</v>
      </c>
      <c r="AQ2" s="13" t="s">
        <v>205</v>
      </c>
      <c r="AR2" s="13" t="s">
        <v>206</v>
      </c>
      <c r="AS2" s="13" t="s">
        <v>207</v>
      </c>
      <c r="AT2" s="13" t="s">
        <v>208</v>
      </c>
      <c r="AU2" s="13" t="s">
        <v>209</v>
      </c>
      <c r="AV2" s="13" t="s">
        <v>210</v>
      </c>
      <c r="AW2" s="13" t="s">
        <v>211</v>
      </c>
      <c r="AX2" s="13" t="s">
        <v>212</v>
      </c>
      <c r="AY2" s="13" t="s">
        <v>213</v>
      </c>
      <c r="AZ2" s="13" t="s">
        <v>214</v>
      </c>
      <c r="BA2" s="13" t="s">
        <v>215</v>
      </c>
      <c r="BB2" s="13" t="s">
        <v>216</v>
      </c>
    </row>
    <row r="3" spans="1:54" ht="15" customHeight="1" x14ac:dyDescent="0.2">
      <c r="A3" s="69" t="s">
        <v>462</v>
      </c>
      <c r="B3" s="69" t="s">
        <v>497</v>
      </c>
      <c r="C3" s="70"/>
      <c r="D3" s="71"/>
      <c r="E3" s="72"/>
      <c r="F3" s="73"/>
      <c r="G3" s="70"/>
      <c r="H3" s="74"/>
      <c r="I3" s="75"/>
      <c r="J3" s="75"/>
      <c r="K3" s="36"/>
      <c r="L3" s="82"/>
      <c r="M3" s="82"/>
      <c r="N3" s="77"/>
      <c r="O3" s="84" t="s">
        <v>502</v>
      </c>
      <c r="P3" s="86">
        <v>44024.226956018516</v>
      </c>
      <c r="Q3" s="84" t="s">
        <v>750</v>
      </c>
      <c r="R3" s="84"/>
      <c r="S3" s="84"/>
      <c r="T3" s="84"/>
      <c r="U3" s="84"/>
      <c r="V3" s="87" t="str">
        <f>HYPERLINK("http://pbs.twimg.com/profile_images/378800000148188324/1f64dc3f372b5390234bbaff6b194fb8_normal.jpeg")</f>
        <v>http://pbs.twimg.com/profile_images/378800000148188324/1f64dc3f372b5390234bbaff6b194fb8_normal.jpeg</v>
      </c>
      <c r="W3" s="86">
        <v>44024.226956018516</v>
      </c>
      <c r="X3" s="90">
        <v>44024</v>
      </c>
      <c r="Y3" s="92" t="s">
        <v>1269</v>
      </c>
      <c r="Z3" s="87" t="str">
        <f>HYPERLINK("https://twitter.com/marymauldin/status/1282184617630605312")</f>
        <v>https://twitter.com/marymauldin/status/1282184617630605312</v>
      </c>
      <c r="AA3" s="84"/>
      <c r="AB3" s="84"/>
      <c r="AC3" s="92" t="s">
        <v>1692</v>
      </c>
      <c r="AD3" s="84"/>
      <c r="AE3" s="84" t="b">
        <v>0</v>
      </c>
      <c r="AF3" s="84">
        <v>0</v>
      </c>
      <c r="AG3" s="92" t="s">
        <v>1724</v>
      </c>
      <c r="AH3" s="84" t="b">
        <v>0</v>
      </c>
      <c r="AI3" s="84" t="s">
        <v>1751</v>
      </c>
      <c r="AJ3" s="84"/>
      <c r="AK3" s="92" t="s">
        <v>1724</v>
      </c>
      <c r="AL3" s="84" t="b">
        <v>0</v>
      </c>
      <c r="AM3" s="84">
        <v>3</v>
      </c>
      <c r="AN3" s="92" t="s">
        <v>1689</v>
      </c>
      <c r="AO3" s="84" t="s">
        <v>1763</v>
      </c>
      <c r="AP3" s="84" t="b">
        <v>0</v>
      </c>
      <c r="AQ3" s="92" t="s">
        <v>1689</v>
      </c>
      <c r="AR3" s="84" t="s">
        <v>179</v>
      </c>
      <c r="AS3" s="84">
        <v>0</v>
      </c>
      <c r="AT3" s="84">
        <v>0</v>
      </c>
      <c r="AU3" s="84"/>
      <c r="AV3" s="84"/>
      <c r="AW3" s="84"/>
      <c r="AX3" s="84"/>
      <c r="AY3" s="84"/>
      <c r="AZ3" s="84"/>
      <c r="BA3" s="84"/>
      <c r="BB3" s="84"/>
    </row>
    <row r="4" spans="1:54" ht="15" customHeight="1" x14ac:dyDescent="0.2">
      <c r="A4" s="69" t="s">
        <v>462</v>
      </c>
      <c r="B4" s="69" t="s">
        <v>498</v>
      </c>
      <c r="C4" s="70"/>
      <c r="D4" s="71"/>
      <c r="E4" s="72"/>
      <c r="F4" s="73"/>
      <c r="G4" s="70"/>
      <c r="H4" s="74"/>
      <c r="I4" s="75"/>
      <c r="J4" s="75"/>
      <c r="K4" s="36"/>
      <c r="L4" s="82"/>
      <c r="M4" s="82"/>
      <c r="N4" s="77"/>
      <c r="O4" s="84" t="s">
        <v>502</v>
      </c>
      <c r="P4" s="86">
        <v>44024.226956018516</v>
      </c>
      <c r="Q4" s="84" t="s">
        <v>750</v>
      </c>
      <c r="R4" s="84"/>
      <c r="S4" s="84"/>
      <c r="T4" s="84"/>
      <c r="U4" s="84"/>
      <c r="V4" s="87" t="str">
        <f>HYPERLINK("http://pbs.twimg.com/profile_images/378800000148188324/1f64dc3f372b5390234bbaff6b194fb8_normal.jpeg")</f>
        <v>http://pbs.twimg.com/profile_images/378800000148188324/1f64dc3f372b5390234bbaff6b194fb8_normal.jpeg</v>
      </c>
      <c r="W4" s="86">
        <v>44024.226956018516</v>
      </c>
      <c r="X4" s="90">
        <v>44024</v>
      </c>
      <c r="Y4" s="92" t="s">
        <v>1269</v>
      </c>
      <c r="Z4" s="87" t="str">
        <f>HYPERLINK("https://twitter.com/marymauldin/status/1282184617630605312")</f>
        <v>https://twitter.com/marymauldin/status/1282184617630605312</v>
      </c>
      <c r="AA4" s="84"/>
      <c r="AB4" s="84"/>
      <c r="AC4" s="92" t="s">
        <v>1692</v>
      </c>
      <c r="AD4" s="84"/>
      <c r="AE4" s="84" t="b">
        <v>0</v>
      </c>
      <c r="AF4" s="84">
        <v>0</v>
      </c>
      <c r="AG4" s="92" t="s">
        <v>1724</v>
      </c>
      <c r="AH4" s="84" t="b">
        <v>0</v>
      </c>
      <c r="AI4" s="84" t="s">
        <v>1751</v>
      </c>
      <c r="AJ4" s="84"/>
      <c r="AK4" s="92" t="s">
        <v>1724</v>
      </c>
      <c r="AL4" s="84" t="b">
        <v>0</v>
      </c>
      <c r="AM4" s="84">
        <v>3</v>
      </c>
      <c r="AN4" s="92" t="s">
        <v>1689</v>
      </c>
      <c r="AO4" s="84" t="s">
        <v>1763</v>
      </c>
      <c r="AP4" s="84" t="b">
        <v>0</v>
      </c>
      <c r="AQ4" s="92" t="s">
        <v>1689</v>
      </c>
      <c r="AR4" s="84" t="s">
        <v>179</v>
      </c>
      <c r="AS4" s="84">
        <v>0</v>
      </c>
      <c r="AT4" s="84">
        <v>0</v>
      </c>
      <c r="AU4" s="84"/>
      <c r="AV4" s="84"/>
      <c r="AW4" s="84"/>
      <c r="AX4" s="84"/>
      <c r="AY4" s="84"/>
      <c r="AZ4" s="84"/>
      <c r="BA4" s="84"/>
      <c r="BB4" s="84"/>
    </row>
    <row r="5" spans="1:54" x14ac:dyDescent="0.2">
      <c r="A5" s="69" t="s">
        <v>462</v>
      </c>
      <c r="B5" s="69" t="s">
        <v>499</v>
      </c>
      <c r="C5" s="70"/>
      <c r="D5" s="71"/>
      <c r="E5" s="72"/>
      <c r="F5" s="73"/>
      <c r="G5" s="70"/>
      <c r="H5" s="74"/>
      <c r="I5" s="75"/>
      <c r="J5" s="75"/>
      <c r="K5" s="36"/>
      <c r="L5" s="82"/>
      <c r="M5" s="82"/>
      <c r="N5" s="77"/>
      <c r="O5" s="84" t="s">
        <v>502</v>
      </c>
      <c r="P5" s="86">
        <v>44024.226956018516</v>
      </c>
      <c r="Q5" s="84" t="s">
        <v>750</v>
      </c>
      <c r="R5" s="84"/>
      <c r="S5" s="84"/>
      <c r="T5" s="84"/>
      <c r="U5" s="84"/>
      <c r="V5" s="87" t="str">
        <f>HYPERLINK("http://pbs.twimg.com/profile_images/378800000148188324/1f64dc3f372b5390234bbaff6b194fb8_normal.jpeg")</f>
        <v>http://pbs.twimg.com/profile_images/378800000148188324/1f64dc3f372b5390234bbaff6b194fb8_normal.jpeg</v>
      </c>
      <c r="W5" s="86">
        <v>44024.226956018516</v>
      </c>
      <c r="X5" s="90">
        <v>44024</v>
      </c>
      <c r="Y5" s="92" t="s">
        <v>1269</v>
      </c>
      <c r="Z5" s="87" t="str">
        <f>HYPERLINK("https://twitter.com/marymauldin/status/1282184617630605312")</f>
        <v>https://twitter.com/marymauldin/status/1282184617630605312</v>
      </c>
      <c r="AA5" s="84"/>
      <c r="AB5" s="84"/>
      <c r="AC5" s="92" t="s">
        <v>1692</v>
      </c>
      <c r="AD5" s="84"/>
      <c r="AE5" s="84" t="b">
        <v>0</v>
      </c>
      <c r="AF5" s="84">
        <v>0</v>
      </c>
      <c r="AG5" s="92" t="s">
        <v>1724</v>
      </c>
      <c r="AH5" s="84" t="b">
        <v>0</v>
      </c>
      <c r="AI5" s="84" t="s">
        <v>1751</v>
      </c>
      <c r="AJ5" s="84"/>
      <c r="AK5" s="92" t="s">
        <v>1724</v>
      </c>
      <c r="AL5" s="84" t="b">
        <v>0</v>
      </c>
      <c r="AM5" s="84">
        <v>3</v>
      </c>
      <c r="AN5" s="92" t="s">
        <v>1689</v>
      </c>
      <c r="AO5" s="84" t="s">
        <v>1763</v>
      </c>
      <c r="AP5" s="84" t="b">
        <v>0</v>
      </c>
      <c r="AQ5" s="92" t="s">
        <v>1689</v>
      </c>
      <c r="AR5" s="84" t="s">
        <v>179</v>
      </c>
      <c r="AS5" s="84">
        <v>0</v>
      </c>
      <c r="AT5" s="84">
        <v>0</v>
      </c>
      <c r="AU5" s="84"/>
      <c r="AV5" s="84"/>
      <c r="AW5" s="84"/>
      <c r="AX5" s="84"/>
      <c r="AY5" s="84"/>
      <c r="AZ5" s="84"/>
      <c r="BA5" s="84"/>
      <c r="BB5" s="84"/>
    </row>
    <row r="6" spans="1:54" x14ac:dyDescent="0.2">
      <c r="A6" s="69" t="s">
        <v>462</v>
      </c>
      <c r="B6" s="69" t="s">
        <v>442</v>
      </c>
      <c r="C6" s="70"/>
      <c r="D6" s="71"/>
      <c r="E6" s="72"/>
      <c r="F6" s="73"/>
      <c r="G6" s="70"/>
      <c r="H6" s="74"/>
      <c r="I6" s="75"/>
      <c r="J6" s="75"/>
      <c r="K6" s="36"/>
      <c r="L6" s="82"/>
      <c r="M6" s="82"/>
      <c r="N6" s="77"/>
      <c r="O6" s="84" t="s">
        <v>500</v>
      </c>
      <c r="P6" s="86">
        <v>44024.226956018516</v>
      </c>
      <c r="Q6" s="84" t="s">
        <v>750</v>
      </c>
      <c r="R6" s="84"/>
      <c r="S6" s="84"/>
      <c r="T6" s="84"/>
      <c r="U6" s="84"/>
      <c r="V6" s="87" t="str">
        <f>HYPERLINK("http://pbs.twimg.com/profile_images/378800000148188324/1f64dc3f372b5390234bbaff6b194fb8_normal.jpeg")</f>
        <v>http://pbs.twimg.com/profile_images/378800000148188324/1f64dc3f372b5390234bbaff6b194fb8_normal.jpeg</v>
      </c>
      <c r="W6" s="86">
        <v>44024.226956018516</v>
      </c>
      <c r="X6" s="90">
        <v>44024</v>
      </c>
      <c r="Y6" s="92" t="s">
        <v>1269</v>
      </c>
      <c r="Z6" s="87" t="str">
        <f>HYPERLINK("https://twitter.com/marymauldin/status/1282184617630605312")</f>
        <v>https://twitter.com/marymauldin/status/1282184617630605312</v>
      </c>
      <c r="AA6" s="84"/>
      <c r="AB6" s="84"/>
      <c r="AC6" s="92" t="s">
        <v>1692</v>
      </c>
      <c r="AD6" s="84"/>
      <c r="AE6" s="84" t="b">
        <v>0</v>
      </c>
      <c r="AF6" s="84">
        <v>0</v>
      </c>
      <c r="AG6" s="92" t="s">
        <v>1724</v>
      </c>
      <c r="AH6" s="84" t="b">
        <v>0</v>
      </c>
      <c r="AI6" s="84" t="s">
        <v>1751</v>
      </c>
      <c r="AJ6" s="84"/>
      <c r="AK6" s="92" t="s">
        <v>1724</v>
      </c>
      <c r="AL6" s="84" t="b">
        <v>0</v>
      </c>
      <c r="AM6" s="84">
        <v>3</v>
      </c>
      <c r="AN6" s="92" t="s">
        <v>1689</v>
      </c>
      <c r="AO6" s="84" t="s">
        <v>1763</v>
      </c>
      <c r="AP6" s="84" t="b">
        <v>0</v>
      </c>
      <c r="AQ6" s="92" t="s">
        <v>1689</v>
      </c>
      <c r="AR6" s="84" t="s">
        <v>179</v>
      </c>
      <c r="AS6" s="84">
        <v>0</v>
      </c>
      <c r="AT6" s="84">
        <v>0</v>
      </c>
      <c r="AU6" s="84"/>
      <c r="AV6" s="84"/>
      <c r="AW6" s="84"/>
      <c r="AX6" s="84"/>
      <c r="AY6" s="84"/>
      <c r="AZ6" s="84"/>
      <c r="BA6" s="84"/>
      <c r="BB6" s="84"/>
    </row>
    <row r="7" spans="1:54" x14ac:dyDescent="0.2">
      <c r="A7" s="69" t="s">
        <v>462</v>
      </c>
      <c r="B7" s="69" t="s">
        <v>461</v>
      </c>
      <c r="C7" s="70"/>
      <c r="D7" s="71"/>
      <c r="E7" s="72"/>
      <c r="F7" s="73"/>
      <c r="G7" s="70"/>
      <c r="H7" s="74"/>
      <c r="I7" s="75"/>
      <c r="J7" s="75"/>
      <c r="K7" s="36"/>
      <c r="L7" s="82"/>
      <c r="M7" s="82"/>
      <c r="N7" s="77"/>
      <c r="O7" s="84" t="s">
        <v>503</v>
      </c>
      <c r="P7" s="86">
        <v>44024.226956018516</v>
      </c>
      <c r="Q7" s="84" t="s">
        <v>750</v>
      </c>
      <c r="R7" s="84"/>
      <c r="S7" s="84"/>
      <c r="T7" s="84"/>
      <c r="U7" s="84"/>
      <c r="V7" s="87" t="str">
        <f>HYPERLINK("http://pbs.twimg.com/profile_images/378800000148188324/1f64dc3f372b5390234bbaff6b194fb8_normal.jpeg")</f>
        <v>http://pbs.twimg.com/profile_images/378800000148188324/1f64dc3f372b5390234bbaff6b194fb8_normal.jpeg</v>
      </c>
      <c r="W7" s="86">
        <v>44024.226956018516</v>
      </c>
      <c r="X7" s="90">
        <v>44024</v>
      </c>
      <c r="Y7" s="92" t="s">
        <v>1269</v>
      </c>
      <c r="Z7" s="87" t="str">
        <f>HYPERLINK("https://twitter.com/marymauldin/status/1282184617630605312")</f>
        <v>https://twitter.com/marymauldin/status/1282184617630605312</v>
      </c>
      <c r="AA7" s="84"/>
      <c r="AB7" s="84"/>
      <c r="AC7" s="92" t="s">
        <v>1692</v>
      </c>
      <c r="AD7" s="84"/>
      <c r="AE7" s="84" t="b">
        <v>0</v>
      </c>
      <c r="AF7" s="84">
        <v>0</v>
      </c>
      <c r="AG7" s="92" t="s">
        <v>1724</v>
      </c>
      <c r="AH7" s="84" t="b">
        <v>0</v>
      </c>
      <c r="AI7" s="84" t="s">
        <v>1751</v>
      </c>
      <c r="AJ7" s="84"/>
      <c r="AK7" s="92" t="s">
        <v>1724</v>
      </c>
      <c r="AL7" s="84" t="b">
        <v>0</v>
      </c>
      <c r="AM7" s="84">
        <v>3</v>
      </c>
      <c r="AN7" s="92" t="s">
        <v>1689</v>
      </c>
      <c r="AO7" s="84" t="s">
        <v>1763</v>
      </c>
      <c r="AP7" s="84" t="b">
        <v>0</v>
      </c>
      <c r="AQ7" s="92" t="s">
        <v>1689</v>
      </c>
      <c r="AR7" s="84" t="s">
        <v>179</v>
      </c>
      <c r="AS7" s="84">
        <v>0</v>
      </c>
      <c r="AT7" s="84">
        <v>0</v>
      </c>
      <c r="AU7" s="84"/>
      <c r="AV7" s="84"/>
      <c r="AW7" s="84"/>
      <c r="AX7" s="84"/>
      <c r="AY7" s="84"/>
      <c r="AZ7" s="84"/>
      <c r="BA7" s="84"/>
      <c r="BB7" s="84"/>
    </row>
    <row r="8" spans="1:54" x14ac:dyDescent="0.2">
      <c r="A8" s="69" t="s">
        <v>460</v>
      </c>
      <c r="B8" s="69" t="s">
        <v>442</v>
      </c>
      <c r="C8" s="70"/>
      <c r="D8" s="71"/>
      <c r="E8" s="72"/>
      <c r="F8" s="73"/>
      <c r="G8" s="70"/>
      <c r="H8" s="74"/>
      <c r="I8" s="75"/>
      <c r="J8" s="75"/>
      <c r="K8" s="36"/>
      <c r="L8" s="82"/>
      <c r="M8" s="82"/>
      <c r="N8" s="77"/>
      <c r="O8" s="84" t="s">
        <v>500</v>
      </c>
      <c r="P8" s="86">
        <v>44024.213414351849</v>
      </c>
      <c r="Q8" s="84" t="s">
        <v>720</v>
      </c>
      <c r="R8" s="84"/>
      <c r="S8" s="84"/>
      <c r="T8" s="84"/>
      <c r="U8" s="84"/>
      <c r="V8" s="87" t="str">
        <f>HYPERLINK("http://pbs.twimg.com/profile_images/1016733800506650624/qXOa1qsu_normal.jpg")</f>
        <v>http://pbs.twimg.com/profile_images/1016733800506650624/qXOa1qsu_normal.jpg</v>
      </c>
      <c r="W8" s="86">
        <v>44024.213414351849</v>
      </c>
      <c r="X8" s="90">
        <v>44024</v>
      </c>
      <c r="Y8" s="92" t="s">
        <v>1265</v>
      </c>
      <c r="Z8" s="87" t="str">
        <f>HYPERLINK("https://twitter.com/joanofarc62/status/1282179709846126592")</f>
        <v>https://twitter.com/joanofarc62/status/1282179709846126592</v>
      </c>
      <c r="AA8" s="84"/>
      <c r="AB8" s="84"/>
      <c r="AC8" s="92" t="s">
        <v>1688</v>
      </c>
      <c r="AD8" s="84"/>
      <c r="AE8" s="84" t="b">
        <v>0</v>
      </c>
      <c r="AF8" s="84">
        <v>0</v>
      </c>
      <c r="AG8" s="92" t="s">
        <v>1724</v>
      </c>
      <c r="AH8" s="84" t="b">
        <v>0</v>
      </c>
      <c r="AI8" s="84" t="s">
        <v>1751</v>
      </c>
      <c r="AJ8" s="84"/>
      <c r="AK8" s="92" t="s">
        <v>1724</v>
      </c>
      <c r="AL8" s="84" t="b">
        <v>0</v>
      </c>
      <c r="AM8" s="84">
        <v>8</v>
      </c>
      <c r="AN8" s="92" t="s">
        <v>1699</v>
      </c>
      <c r="AO8" s="84" t="s">
        <v>1766</v>
      </c>
      <c r="AP8" s="84" t="b">
        <v>0</v>
      </c>
      <c r="AQ8" s="92" t="s">
        <v>1699</v>
      </c>
      <c r="AR8" s="84" t="s">
        <v>179</v>
      </c>
      <c r="AS8" s="84">
        <v>0</v>
      </c>
      <c r="AT8" s="84">
        <v>0</v>
      </c>
      <c r="AU8" s="84"/>
      <c r="AV8" s="84"/>
      <c r="AW8" s="84"/>
      <c r="AX8" s="84"/>
      <c r="AY8" s="84"/>
      <c r="AZ8" s="84"/>
      <c r="BA8" s="84"/>
      <c r="BB8" s="84"/>
    </row>
    <row r="9" spans="1:54" x14ac:dyDescent="0.2">
      <c r="A9" s="69" t="s">
        <v>459</v>
      </c>
      <c r="B9" s="69" t="s">
        <v>459</v>
      </c>
      <c r="C9" s="70"/>
      <c r="D9" s="71"/>
      <c r="E9" s="72"/>
      <c r="F9" s="73"/>
      <c r="G9" s="70"/>
      <c r="H9" s="74"/>
      <c r="I9" s="75"/>
      <c r="J9" s="75"/>
      <c r="K9" s="36"/>
      <c r="L9" s="82"/>
      <c r="M9" s="82"/>
      <c r="N9" s="77"/>
      <c r="O9" s="84" t="s">
        <v>179</v>
      </c>
      <c r="P9" s="86">
        <v>44024.195416666669</v>
      </c>
      <c r="Q9" s="84" t="s">
        <v>749</v>
      </c>
      <c r="R9" s="87" t="str">
        <f>HYPERLINK("https://www.instagram.com/p/CChz7fABqEt/")</f>
        <v>https://www.instagram.com/p/CChz7fABqEt/</v>
      </c>
      <c r="S9" s="84" t="s">
        <v>759</v>
      </c>
      <c r="T9" s="84" t="s">
        <v>860</v>
      </c>
      <c r="U9" s="87" t="str">
        <f>HYPERLINK("https://pbs.twimg.com/media/EcsxuHzXgAEFJFf.jpg")</f>
        <v>https://pbs.twimg.com/media/EcsxuHzXgAEFJFf.jpg</v>
      </c>
      <c r="V9" s="87" t="str">
        <f>HYPERLINK("https://pbs.twimg.com/media/EcsxuHzXgAEFJFf.jpg")</f>
        <v>https://pbs.twimg.com/media/EcsxuHzXgAEFJFf.jpg</v>
      </c>
      <c r="W9" s="86">
        <v>44024.195416666669</v>
      </c>
      <c r="X9" s="90">
        <v>44024</v>
      </c>
      <c r="Y9" s="92" t="s">
        <v>1264</v>
      </c>
      <c r="Z9" s="87" t="str">
        <f>HYPERLINK("https://twitter.com/lookstorei/status/1282173188743593984")</f>
        <v>https://twitter.com/lookstorei/status/1282173188743593984</v>
      </c>
      <c r="AA9" s="84"/>
      <c r="AB9" s="84"/>
      <c r="AC9" s="92" t="s">
        <v>1687</v>
      </c>
      <c r="AD9" s="84"/>
      <c r="AE9" s="84" t="b">
        <v>0</v>
      </c>
      <c r="AF9" s="84">
        <v>0</v>
      </c>
      <c r="AG9" s="92" t="s">
        <v>1724</v>
      </c>
      <c r="AH9" s="84" t="b">
        <v>0</v>
      </c>
      <c r="AI9" s="84" t="s">
        <v>1751</v>
      </c>
      <c r="AJ9" s="84"/>
      <c r="AK9" s="92" t="s">
        <v>1724</v>
      </c>
      <c r="AL9" s="84" t="b">
        <v>0</v>
      </c>
      <c r="AM9" s="84">
        <v>0</v>
      </c>
      <c r="AN9" s="92" t="s">
        <v>1724</v>
      </c>
      <c r="AO9" s="84" t="s">
        <v>1783</v>
      </c>
      <c r="AP9" s="84" t="b">
        <v>0</v>
      </c>
      <c r="AQ9" s="92" t="s">
        <v>1687</v>
      </c>
      <c r="AR9" s="84" t="s">
        <v>179</v>
      </c>
      <c r="AS9" s="84">
        <v>0</v>
      </c>
      <c r="AT9" s="84">
        <v>0</v>
      </c>
      <c r="AU9" s="84"/>
      <c r="AV9" s="84"/>
      <c r="AW9" s="84"/>
      <c r="AX9" s="84"/>
      <c r="AY9" s="84"/>
      <c r="AZ9" s="84"/>
      <c r="BA9" s="84"/>
      <c r="BB9" s="84"/>
    </row>
    <row r="10" spans="1:54" x14ac:dyDescent="0.2">
      <c r="A10" s="69" t="s">
        <v>458</v>
      </c>
      <c r="B10" s="69" t="s">
        <v>442</v>
      </c>
      <c r="C10" s="70"/>
      <c r="D10" s="71"/>
      <c r="E10" s="72"/>
      <c r="F10" s="73"/>
      <c r="G10" s="70"/>
      <c r="H10" s="74"/>
      <c r="I10" s="75"/>
      <c r="J10" s="75"/>
      <c r="K10" s="36"/>
      <c r="L10" s="82"/>
      <c r="M10" s="82"/>
      <c r="N10" s="77"/>
      <c r="O10" s="84" t="s">
        <v>500</v>
      </c>
      <c r="P10" s="86">
        <v>44024.193692129629</v>
      </c>
      <c r="Q10" s="84" t="s">
        <v>720</v>
      </c>
      <c r="R10" s="84"/>
      <c r="S10" s="84"/>
      <c r="T10" s="84"/>
      <c r="U10" s="84"/>
      <c r="V10" s="87" t="str">
        <f>HYPERLINK("http://pbs.twimg.com/profile_images/1148383654961471489/pYfnyCvU_normal.jpg")</f>
        <v>http://pbs.twimg.com/profile_images/1148383654961471489/pYfnyCvU_normal.jpg</v>
      </c>
      <c r="W10" s="86">
        <v>44024.193692129629</v>
      </c>
      <c r="X10" s="90">
        <v>44024</v>
      </c>
      <c r="Y10" s="92" t="s">
        <v>1262</v>
      </c>
      <c r="Z10" s="87" t="str">
        <f>HYPERLINK("https://twitter.com/honor2020/status/1282172565167976448")</f>
        <v>https://twitter.com/honor2020/status/1282172565167976448</v>
      </c>
      <c r="AA10" s="84"/>
      <c r="AB10" s="84"/>
      <c r="AC10" s="92" t="s">
        <v>1684</v>
      </c>
      <c r="AD10" s="84"/>
      <c r="AE10" s="84" t="b">
        <v>0</v>
      </c>
      <c r="AF10" s="84">
        <v>0</v>
      </c>
      <c r="AG10" s="92" t="s">
        <v>1724</v>
      </c>
      <c r="AH10" s="84" t="b">
        <v>0</v>
      </c>
      <c r="AI10" s="84" t="s">
        <v>1751</v>
      </c>
      <c r="AJ10" s="84"/>
      <c r="AK10" s="92" t="s">
        <v>1724</v>
      </c>
      <c r="AL10" s="84" t="b">
        <v>0</v>
      </c>
      <c r="AM10" s="84">
        <v>8</v>
      </c>
      <c r="AN10" s="92" t="s">
        <v>1699</v>
      </c>
      <c r="AO10" s="84" t="s">
        <v>1763</v>
      </c>
      <c r="AP10" s="84" t="b">
        <v>0</v>
      </c>
      <c r="AQ10" s="92" t="s">
        <v>1699</v>
      </c>
      <c r="AR10" s="84" t="s">
        <v>179</v>
      </c>
      <c r="AS10" s="84">
        <v>0</v>
      </c>
      <c r="AT10" s="84">
        <v>0</v>
      </c>
      <c r="AU10" s="84"/>
      <c r="AV10" s="84"/>
      <c r="AW10" s="84"/>
      <c r="AX10" s="84"/>
      <c r="AY10" s="84"/>
      <c r="AZ10" s="84"/>
      <c r="BA10" s="84"/>
      <c r="BB10" s="84"/>
    </row>
    <row r="11" spans="1:54" x14ac:dyDescent="0.2">
      <c r="A11" s="69" t="s">
        <v>458</v>
      </c>
      <c r="B11" s="69" t="s">
        <v>442</v>
      </c>
      <c r="C11" s="70"/>
      <c r="D11" s="71"/>
      <c r="E11" s="72"/>
      <c r="F11" s="73"/>
      <c r="G11" s="70"/>
      <c r="H11" s="74"/>
      <c r="I11" s="75"/>
      <c r="J11" s="75"/>
      <c r="K11" s="36"/>
      <c r="L11" s="82"/>
      <c r="M11" s="82"/>
      <c r="N11" s="77"/>
      <c r="O11" s="84" t="s">
        <v>500</v>
      </c>
      <c r="P11" s="86">
        <v>44024.193483796298</v>
      </c>
      <c r="Q11" s="84" t="s">
        <v>718</v>
      </c>
      <c r="R11" s="84"/>
      <c r="S11" s="84"/>
      <c r="T11" s="84"/>
      <c r="U11" s="84"/>
      <c r="V11" s="87" t="str">
        <f>HYPERLINK("http://pbs.twimg.com/profile_images/1148383654961471489/pYfnyCvU_normal.jpg")</f>
        <v>http://pbs.twimg.com/profile_images/1148383654961471489/pYfnyCvU_normal.jpg</v>
      </c>
      <c r="W11" s="86">
        <v>44024.193483796298</v>
      </c>
      <c r="X11" s="90">
        <v>44024</v>
      </c>
      <c r="Y11" s="92" t="s">
        <v>1261</v>
      </c>
      <c r="Z11" s="87" t="str">
        <f>HYPERLINK("https://twitter.com/honor2020/status/1282172487606960128")</f>
        <v>https://twitter.com/honor2020/status/1282172487606960128</v>
      </c>
      <c r="AA11" s="84"/>
      <c r="AB11" s="84"/>
      <c r="AC11" s="92" t="s">
        <v>1683</v>
      </c>
      <c r="AD11" s="84"/>
      <c r="AE11" s="84" t="b">
        <v>0</v>
      </c>
      <c r="AF11" s="84">
        <v>0</v>
      </c>
      <c r="AG11" s="92" t="s">
        <v>1724</v>
      </c>
      <c r="AH11" s="84" t="b">
        <v>0</v>
      </c>
      <c r="AI11" s="84" t="s">
        <v>1751</v>
      </c>
      <c r="AJ11" s="84"/>
      <c r="AK11" s="92" t="s">
        <v>1724</v>
      </c>
      <c r="AL11" s="84" t="b">
        <v>0</v>
      </c>
      <c r="AM11" s="84">
        <v>5</v>
      </c>
      <c r="AN11" s="92" t="s">
        <v>1695</v>
      </c>
      <c r="AO11" s="84" t="s">
        <v>1763</v>
      </c>
      <c r="AP11" s="84" t="b">
        <v>0</v>
      </c>
      <c r="AQ11" s="92" t="s">
        <v>1695</v>
      </c>
      <c r="AR11" s="84" t="s">
        <v>179</v>
      </c>
      <c r="AS11" s="84">
        <v>0</v>
      </c>
      <c r="AT11" s="84">
        <v>0</v>
      </c>
      <c r="AU11" s="84"/>
      <c r="AV11" s="84"/>
      <c r="AW11" s="84"/>
      <c r="AX11" s="84"/>
      <c r="AY11" s="84"/>
      <c r="AZ11" s="84"/>
      <c r="BA11" s="84"/>
      <c r="BB11" s="84"/>
    </row>
    <row r="12" spans="1:54" x14ac:dyDescent="0.2">
      <c r="A12" s="69" t="s">
        <v>457</v>
      </c>
      <c r="B12" s="69" t="s">
        <v>456</v>
      </c>
      <c r="C12" s="70"/>
      <c r="D12" s="71"/>
      <c r="E12" s="72"/>
      <c r="F12" s="73"/>
      <c r="G12" s="70"/>
      <c r="H12" s="74"/>
      <c r="I12" s="75"/>
      <c r="J12" s="75"/>
      <c r="K12" s="36"/>
      <c r="L12" s="82"/>
      <c r="M12" s="82"/>
      <c r="N12" s="77"/>
      <c r="O12" s="84" t="s">
        <v>500</v>
      </c>
      <c r="P12" s="86">
        <v>44024.153506944444</v>
      </c>
      <c r="Q12" s="84" t="s">
        <v>657</v>
      </c>
      <c r="R12" s="84"/>
      <c r="S12" s="84"/>
      <c r="T12" s="84" t="s">
        <v>834</v>
      </c>
      <c r="U12" s="84"/>
      <c r="V12" s="87" t="str">
        <f>HYPERLINK("http://pbs.twimg.com/profile_images/1270519000720687106/DyEgbmhn_normal.jpg")</f>
        <v>http://pbs.twimg.com/profile_images/1270519000720687106/DyEgbmhn_normal.jpg</v>
      </c>
      <c r="W12" s="86">
        <v>44024.153506944444</v>
      </c>
      <c r="X12" s="90">
        <v>44024</v>
      </c>
      <c r="Y12" s="92" t="s">
        <v>1260</v>
      </c>
      <c r="Z12" s="87" t="str">
        <f>HYPERLINK("https://twitter.com/bookworm543211/status/1282158002787713026")</f>
        <v>https://twitter.com/bookworm543211/status/1282158002787713026</v>
      </c>
      <c r="AA12" s="84"/>
      <c r="AB12" s="84"/>
      <c r="AC12" s="92" t="s">
        <v>1682</v>
      </c>
      <c r="AD12" s="84"/>
      <c r="AE12" s="84" t="b">
        <v>0</v>
      </c>
      <c r="AF12" s="84">
        <v>0</v>
      </c>
      <c r="AG12" s="92" t="s">
        <v>1724</v>
      </c>
      <c r="AH12" s="84" t="b">
        <v>0</v>
      </c>
      <c r="AI12" s="84" t="s">
        <v>1751</v>
      </c>
      <c r="AJ12" s="84"/>
      <c r="AK12" s="92" t="s">
        <v>1724</v>
      </c>
      <c r="AL12" s="84" t="b">
        <v>0</v>
      </c>
      <c r="AM12" s="84">
        <v>51</v>
      </c>
      <c r="AN12" s="92" t="s">
        <v>1680</v>
      </c>
      <c r="AO12" s="84" t="s">
        <v>1763</v>
      </c>
      <c r="AP12" s="84" t="b">
        <v>0</v>
      </c>
      <c r="AQ12" s="92" t="s">
        <v>1680</v>
      </c>
      <c r="AR12" s="84" t="s">
        <v>179</v>
      </c>
      <c r="AS12" s="84">
        <v>0</v>
      </c>
      <c r="AT12" s="84">
        <v>0</v>
      </c>
      <c r="AU12" s="84"/>
      <c r="AV12" s="84"/>
      <c r="AW12" s="84"/>
      <c r="AX12" s="84"/>
      <c r="AY12" s="84"/>
      <c r="AZ12" s="84"/>
      <c r="BA12" s="84"/>
      <c r="BB12" s="84"/>
    </row>
    <row r="13" spans="1:54" x14ac:dyDescent="0.2">
      <c r="A13" s="69" t="s">
        <v>455</v>
      </c>
      <c r="B13" s="69" t="s">
        <v>455</v>
      </c>
      <c r="C13" s="70"/>
      <c r="D13" s="71"/>
      <c r="E13" s="72"/>
      <c r="F13" s="73"/>
      <c r="G13" s="70"/>
      <c r="H13" s="74"/>
      <c r="I13" s="75"/>
      <c r="J13" s="75"/>
      <c r="K13" s="36"/>
      <c r="L13" s="82"/>
      <c r="M13" s="82"/>
      <c r="N13" s="77"/>
      <c r="O13" s="84" t="s">
        <v>179</v>
      </c>
      <c r="P13" s="86">
        <v>44024.152430555558</v>
      </c>
      <c r="Q13" s="84" t="s">
        <v>746</v>
      </c>
      <c r="R13" s="84"/>
      <c r="S13" s="84"/>
      <c r="T13" s="84" t="s">
        <v>781</v>
      </c>
      <c r="U13" s="84"/>
      <c r="V13" s="87" t="str">
        <f>HYPERLINK("http://pbs.twimg.com/profile_images/1248987377978105857/t_t2Jxbr_normal.jpg")</f>
        <v>http://pbs.twimg.com/profile_images/1248987377978105857/t_t2Jxbr_normal.jpg</v>
      </c>
      <c r="W13" s="86">
        <v>44024.152430555558</v>
      </c>
      <c r="X13" s="90">
        <v>44024</v>
      </c>
      <c r="Y13" s="92" t="s">
        <v>1257</v>
      </c>
      <c r="Z13" s="87" t="str">
        <f>HYPERLINK("https://twitter.com/_omizo_/status/1282157612755062784")</f>
        <v>https://twitter.com/_omizo_/status/1282157612755062784</v>
      </c>
      <c r="AA13" s="84"/>
      <c r="AB13" s="84"/>
      <c r="AC13" s="92" t="s">
        <v>1679</v>
      </c>
      <c r="AD13" s="84"/>
      <c r="AE13" s="84" t="b">
        <v>0</v>
      </c>
      <c r="AF13" s="84">
        <v>3</v>
      </c>
      <c r="AG13" s="92" t="s">
        <v>1724</v>
      </c>
      <c r="AH13" s="84" t="b">
        <v>0</v>
      </c>
      <c r="AI13" s="84" t="s">
        <v>1750</v>
      </c>
      <c r="AJ13" s="84"/>
      <c r="AK13" s="92" t="s">
        <v>1724</v>
      </c>
      <c r="AL13" s="84" t="b">
        <v>0</v>
      </c>
      <c r="AM13" s="84">
        <v>0</v>
      </c>
      <c r="AN13" s="92" t="s">
        <v>1724</v>
      </c>
      <c r="AO13" s="84" t="s">
        <v>1763</v>
      </c>
      <c r="AP13" s="84" t="b">
        <v>0</v>
      </c>
      <c r="AQ13" s="92" t="s">
        <v>1679</v>
      </c>
      <c r="AR13" s="84" t="s">
        <v>179</v>
      </c>
      <c r="AS13" s="84">
        <v>0</v>
      </c>
      <c r="AT13" s="84">
        <v>0</v>
      </c>
      <c r="AU13" s="84"/>
      <c r="AV13" s="84"/>
      <c r="AW13" s="84"/>
      <c r="AX13" s="84"/>
      <c r="AY13" s="84"/>
      <c r="AZ13" s="84"/>
      <c r="BA13" s="84"/>
      <c r="BB13" s="84"/>
    </row>
    <row r="14" spans="1:54" x14ac:dyDescent="0.2">
      <c r="A14" s="69" t="s">
        <v>454</v>
      </c>
      <c r="B14" s="69" t="s">
        <v>456</v>
      </c>
      <c r="C14" s="70"/>
      <c r="D14" s="71"/>
      <c r="E14" s="72"/>
      <c r="F14" s="73"/>
      <c r="G14" s="70"/>
      <c r="H14" s="74"/>
      <c r="I14" s="75"/>
      <c r="J14" s="75"/>
      <c r="K14" s="36"/>
      <c r="L14" s="82"/>
      <c r="M14" s="82"/>
      <c r="N14" s="77"/>
      <c r="O14" s="84" t="s">
        <v>500</v>
      </c>
      <c r="P14" s="86">
        <v>44024.127592592595</v>
      </c>
      <c r="Q14" s="84" t="s">
        <v>657</v>
      </c>
      <c r="R14" s="84"/>
      <c r="S14" s="84"/>
      <c r="T14" s="84" t="s">
        <v>834</v>
      </c>
      <c r="U14" s="84"/>
      <c r="V14" s="87" t="str">
        <f>HYPERLINK("http://pbs.twimg.com/profile_images/1279338846480560128/jA51De_c_normal.jpg")</f>
        <v>http://pbs.twimg.com/profile_images/1279338846480560128/jA51De_c_normal.jpg</v>
      </c>
      <c r="W14" s="86">
        <v>44024.127592592595</v>
      </c>
      <c r="X14" s="90">
        <v>44024</v>
      </c>
      <c r="Y14" s="92" t="s">
        <v>1256</v>
      </c>
      <c r="Z14" s="87" t="str">
        <f>HYPERLINK("https://twitter.com/lovelightangel2/status/1282148610927259649")</f>
        <v>https://twitter.com/lovelightangel2/status/1282148610927259649</v>
      </c>
      <c r="AA14" s="84"/>
      <c r="AB14" s="84"/>
      <c r="AC14" s="92" t="s">
        <v>1678</v>
      </c>
      <c r="AD14" s="84"/>
      <c r="AE14" s="84" t="b">
        <v>0</v>
      </c>
      <c r="AF14" s="84">
        <v>0</v>
      </c>
      <c r="AG14" s="92" t="s">
        <v>1724</v>
      </c>
      <c r="AH14" s="84" t="b">
        <v>0</v>
      </c>
      <c r="AI14" s="84" t="s">
        <v>1751</v>
      </c>
      <c r="AJ14" s="84"/>
      <c r="AK14" s="92" t="s">
        <v>1724</v>
      </c>
      <c r="AL14" s="84" t="b">
        <v>0</v>
      </c>
      <c r="AM14" s="84">
        <v>51</v>
      </c>
      <c r="AN14" s="92" t="s">
        <v>1680</v>
      </c>
      <c r="AO14" s="84" t="s">
        <v>1764</v>
      </c>
      <c r="AP14" s="84" t="b">
        <v>0</v>
      </c>
      <c r="AQ14" s="92" t="s">
        <v>1680</v>
      </c>
      <c r="AR14" s="84" t="s">
        <v>179</v>
      </c>
      <c r="AS14" s="84">
        <v>0</v>
      </c>
      <c r="AT14" s="84">
        <v>0</v>
      </c>
      <c r="AU14" s="84"/>
      <c r="AV14" s="84"/>
      <c r="AW14" s="84"/>
      <c r="AX14" s="84"/>
      <c r="AY14" s="84"/>
      <c r="AZ14" s="84"/>
      <c r="BA14" s="84"/>
      <c r="BB14" s="84"/>
    </row>
    <row r="15" spans="1:54" x14ac:dyDescent="0.2">
      <c r="A15" s="69" t="s">
        <v>453</v>
      </c>
      <c r="B15" s="69" t="s">
        <v>456</v>
      </c>
      <c r="C15" s="70"/>
      <c r="D15" s="71"/>
      <c r="E15" s="72"/>
      <c r="F15" s="73"/>
      <c r="G15" s="70"/>
      <c r="H15" s="74"/>
      <c r="I15" s="75"/>
      <c r="J15" s="75"/>
      <c r="K15" s="36"/>
      <c r="L15" s="82"/>
      <c r="M15" s="82"/>
      <c r="N15" s="77"/>
      <c r="O15" s="84" t="s">
        <v>500</v>
      </c>
      <c r="P15" s="86">
        <v>44024.113333333335</v>
      </c>
      <c r="Q15" s="84" t="s">
        <v>657</v>
      </c>
      <c r="R15" s="84"/>
      <c r="S15" s="84"/>
      <c r="T15" s="84" t="s">
        <v>834</v>
      </c>
      <c r="U15" s="84"/>
      <c r="V15" s="87" t="str">
        <f>HYPERLINK("http://abs.twimg.com/sticky/default_profile_images/default_profile_normal.png")</f>
        <v>http://abs.twimg.com/sticky/default_profile_images/default_profile_normal.png</v>
      </c>
      <c r="W15" s="86">
        <v>44024.113333333335</v>
      </c>
      <c r="X15" s="90">
        <v>44024</v>
      </c>
      <c r="Y15" s="92" t="s">
        <v>1255</v>
      </c>
      <c r="Z15" s="87" t="str">
        <f>HYPERLINK("https://twitter.com/mikespec11/status/1282143442278199296")</f>
        <v>https://twitter.com/mikespec11/status/1282143442278199296</v>
      </c>
      <c r="AA15" s="84"/>
      <c r="AB15" s="84"/>
      <c r="AC15" s="92" t="s">
        <v>1677</v>
      </c>
      <c r="AD15" s="84"/>
      <c r="AE15" s="84" t="b">
        <v>0</v>
      </c>
      <c r="AF15" s="84">
        <v>0</v>
      </c>
      <c r="AG15" s="92" t="s">
        <v>1724</v>
      </c>
      <c r="AH15" s="84" t="b">
        <v>0</v>
      </c>
      <c r="AI15" s="84" t="s">
        <v>1751</v>
      </c>
      <c r="AJ15" s="84"/>
      <c r="AK15" s="92" t="s">
        <v>1724</v>
      </c>
      <c r="AL15" s="84" t="b">
        <v>0</v>
      </c>
      <c r="AM15" s="84">
        <v>51</v>
      </c>
      <c r="AN15" s="92" t="s">
        <v>1680</v>
      </c>
      <c r="AO15" s="84" t="s">
        <v>1763</v>
      </c>
      <c r="AP15" s="84" t="b">
        <v>0</v>
      </c>
      <c r="AQ15" s="92" t="s">
        <v>1680</v>
      </c>
      <c r="AR15" s="84" t="s">
        <v>179</v>
      </c>
      <c r="AS15" s="84">
        <v>0</v>
      </c>
      <c r="AT15" s="84">
        <v>0</v>
      </c>
      <c r="AU15" s="84"/>
      <c r="AV15" s="84"/>
      <c r="AW15" s="84"/>
      <c r="AX15" s="84"/>
      <c r="AY15" s="84"/>
      <c r="AZ15" s="84"/>
      <c r="BA15" s="84"/>
      <c r="BB15" s="84"/>
    </row>
    <row r="16" spans="1:54" x14ac:dyDescent="0.2">
      <c r="A16" s="69" t="s">
        <v>452</v>
      </c>
      <c r="B16" s="69" t="s">
        <v>452</v>
      </c>
      <c r="C16" s="70"/>
      <c r="D16" s="71"/>
      <c r="E16" s="72"/>
      <c r="F16" s="73"/>
      <c r="G16" s="70"/>
      <c r="H16" s="74"/>
      <c r="I16" s="75"/>
      <c r="J16" s="75"/>
      <c r="K16" s="36"/>
      <c r="L16" s="82"/>
      <c r="M16" s="82"/>
      <c r="N16" s="77"/>
      <c r="O16" s="84" t="s">
        <v>179</v>
      </c>
      <c r="P16" s="86">
        <v>44024.112199074072</v>
      </c>
      <c r="Q16" s="84" t="s">
        <v>745</v>
      </c>
      <c r="R16" s="84"/>
      <c r="S16" s="84"/>
      <c r="T16" s="84" t="s">
        <v>857</v>
      </c>
      <c r="U16" s="84"/>
      <c r="V16" s="87" t="str">
        <f>HYPERLINK("http://pbs.twimg.com/profile_images/1220405796388904960/2lht2F-Y_normal.jpg")</f>
        <v>http://pbs.twimg.com/profile_images/1220405796388904960/2lht2F-Y_normal.jpg</v>
      </c>
      <c r="W16" s="86">
        <v>44024.112199074072</v>
      </c>
      <c r="X16" s="90">
        <v>44024</v>
      </c>
      <c r="Y16" s="92" t="s">
        <v>1254</v>
      </c>
      <c r="Z16" s="87" t="str">
        <f>HYPERLINK("https://twitter.com/knoxyy99/status/1282143029831270400")</f>
        <v>https://twitter.com/knoxyy99/status/1282143029831270400</v>
      </c>
      <c r="AA16" s="84"/>
      <c r="AB16" s="84"/>
      <c r="AC16" s="92" t="s">
        <v>1676</v>
      </c>
      <c r="AD16" s="84"/>
      <c r="AE16" s="84" t="b">
        <v>0</v>
      </c>
      <c r="AF16" s="84">
        <v>0</v>
      </c>
      <c r="AG16" s="92" t="s">
        <v>1724</v>
      </c>
      <c r="AH16" s="84" t="b">
        <v>0</v>
      </c>
      <c r="AI16" s="84" t="s">
        <v>1751</v>
      </c>
      <c r="AJ16" s="84"/>
      <c r="AK16" s="92" t="s">
        <v>1724</v>
      </c>
      <c r="AL16" s="84" t="b">
        <v>0</v>
      </c>
      <c r="AM16" s="84">
        <v>0</v>
      </c>
      <c r="AN16" s="92" t="s">
        <v>1724</v>
      </c>
      <c r="AO16" s="84" t="s">
        <v>1763</v>
      </c>
      <c r="AP16" s="84" t="b">
        <v>0</v>
      </c>
      <c r="AQ16" s="92" t="s">
        <v>1676</v>
      </c>
      <c r="AR16" s="84" t="s">
        <v>179</v>
      </c>
      <c r="AS16" s="84">
        <v>0</v>
      </c>
      <c r="AT16" s="84">
        <v>0</v>
      </c>
      <c r="AU16" s="84"/>
      <c r="AV16" s="84"/>
      <c r="AW16" s="84"/>
      <c r="AX16" s="84"/>
      <c r="AY16" s="84"/>
      <c r="AZ16" s="84"/>
      <c r="BA16" s="84"/>
      <c r="BB16" s="84"/>
    </row>
    <row r="17" spans="1:54" x14ac:dyDescent="0.2">
      <c r="A17" s="69" t="s">
        <v>451</v>
      </c>
      <c r="B17" s="69" t="s">
        <v>456</v>
      </c>
      <c r="C17" s="70"/>
      <c r="D17" s="71"/>
      <c r="E17" s="72"/>
      <c r="F17" s="73"/>
      <c r="G17" s="70"/>
      <c r="H17" s="74"/>
      <c r="I17" s="75"/>
      <c r="J17" s="75"/>
      <c r="K17" s="36"/>
      <c r="L17" s="82"/>
      <c r="M17" s="82"/>
      <c r="N17" s="77"/>
      <c r="O17" s="84" t="s">
        <v>500</v>
      </c>
      <c r="P17" s="86">
        <v>44024.107916666668</v>
      </c>
      <c r="Q17" s="84" t="s">
        <v>657</v>
      </c>
      <c r="R17" s="84"/>
      <c r="S17" s="84"/>
      <c r="T17" s="84" t="s">
        <v>834</v>
      </c>
      <c r="U17" s="84"/>
      <c r="V17" s="87" t="str">
        <f>HYPERLINK("http://pbs.twimg.com/profile_images/1252702811273547778/aJsCA_-p_normal.jpg")</f>
        <v>http://pbs.twimg.com/profile_images/1252702811273547778/aJsCA_-p_normal.jpg</v>
      </c>
      <c r="W17" s="86">
        <v>44024.107916666668</v>
      </c>
      <c r="X17" s="90">
        <v>44024</v>
      </c>
      <c r="Y17" s="92" t="s">
        <v>1253</v>
      </c>
      <c r="Z17" s="87" t="str">
        <f>HYPERLINK("https://twitter.com/itgoesanonanon/status/1282141479914348551")</f>
        <v>https://twitter.com/itgoesanonanon/status/1282141479914348551</v>
      </c>
      <c r="AA17" s="84"/>
      <c r="AB17" s="84"/>
      <c r="AC17" s="92" t="s">
        <v>1675</v>
      </c>
      <c r="AD17" s="84"/>
      <c r="AE17" s="84" t="b">
        <v>0</v>
      </c>
      <c r="AF17" s="84">
        <v>0</v>
      </c>
      <c r="AG17" s="92" t="s">
        <v>1724</v>
      </c>
      <c r="AH17" s="84" t="b">
        <v>0</v>
      </c>
      <c r="AI17" s="84" t="s">
        <v>1751</v>
      </c>
      <c r="AJ17" s="84"/>
      <c r="AK17" s="92" t="s">
        <v>1724</v>
      </c>
      <c r="AL17" s="84" t="b">
        <v>0</v>
      </c>
      <c r="AM17" s="84">
        <v>51</v>
      </c>
      <c r="AN17" s="92" t="s">
        <v>1680</v>
      </c>
      <c r="AO17" s="84" t="s">
        <v>1763</v>
      </c>
      <c r="AP17" s="84" t="b">
        <v>0</v>
      </c>
      <c r="AQ17" s="92" t="s">
        <v>1680</v>
      </c>
      <c r="AR17" s="84" t="s">
        <v>179</v>
      </c>
      <c r="AS17" s="84">
        <v>0</v>
      </c>
      <c r="AT17" s="84">
        <v>0</v>
      </c>
      <c r="AU17" s="84"/>
      <c r="AV17" s="84"/>
      <c r="AW17" s="84"/>
      <c r="AX17" s="84"/>
      <c r="AY17" s="84"/>
      <c r="AZ17" s="84"/>
      <c r="BA17" s="84"/>
      <c r="BB17" s="84"/>
    </row>
    <row r="18" spans="1:54" x14ac:dyDescent="0.2">
      <c r="A18" s="69" t="s">
        <v>450</v>
      </c>
      <c r="B18" s="69" t="s">
        <v>449</v>
      </c>
      <c r="C18" s="70"/>
      <c r="D18" s="71"/>
      <c r="E18" s="72"/>
      <c r="F18" s="73"/>
      <c r="G18" s="70"/>
      <c r="H18" s="74"/>
      <c r="I18" s="75"/>
      <c r="J18" s="75"/>
      <c r="K18" s="36"/>
      <c r="L18" s="82"/>
      <c r="M18" s="82"/>
      <c r="N18" s="77"/>
      <c r="O18" s="84" t="s">
        <v>500</v>
      </c>
      <c r="P18" s="86">
        <v>44024.100555555553</v>
      </c>
      <c r="Q18" s="84" t="s">
        <v>683</v>
      </c>
      <c r="R18" s="84"/>
      <c r="S18" s="84"/>
      <c r="T18" s="84" t="s">
        <v>840</v>
      </c>
      <c r="U18" s="84"/>
      <c r="V18" s="87" t="str">
        <f>HYPERLINK("http://pbs.twimg.com/profile_images/1281687475505725445/nw0dEdbN_normal.jpg")</f>
        <v>http://pbs.twimg.com/profile_images/1281687475505725445/nw0dEdbN_normal.jpg</v>
      </c>
      <c r="W18" s="86">
        <v>44024.100555555553</v>
      </c>
      <c r="X18" s="90">
        <v>44024</v>
      </c>
      <c r="Y18" s="92" t="s">
        <v>1251</v>
      </c>
      <c r="Z18" s="87" t="str">
        <f>HYPERLINK("https://twitter.com/biracialconser1/status/1282138811544350720")</f>
        <v>https://twitter.com/biracialconser1/status/1282138811544350720</v>
      </c>
      <c r="AA18" s="84"/>
      <c r="AB18" s="84"/>
      <c r="AC18" s="92" t="s">
        <v>1673</v>
      </c>
      <c r="AD18" s="84"/>
      <c r="AE18" s="84" t="b">
        <v>0</v>
      </c>
      <c r="AF18" s="84">
        <v>0</v>
      </c>
      <c r="AG18" s="92" t="s">
        <v>1724</v>
      </c>
      <c r="AH18" s="84" t="b">
        <v>0</v>
      </c>
      <c r="AI18" s="84" t="s">
        <v>1751</v>
      </c>
      <c r="AJ18" s="84"/>
      <c r="AK18" s="92" t="s">
        <v>1724</v>
      </c>
      <c r="AL18" s="84" t="b">
        <v>0</v>
      </c>
      <c r="AM18" s="84">
        <v>3</v>
      </c>
      <c r="AN18" s="92" t="s">
        <v>1672</v>
      </c>
      <c r="AO18" s="84" t="s">
        <v>1763</v>
      </c>
      <c r="AP18" s="84" t="b">
        <v>0</v>
      </c>
      <c r="AQ18" s="92" t="s">
        <v>1672</v>
      </c>
      <c r="AR18" s="84" t="s">
        <v>179</v>
      </c>
      <c r="AS18" s="84">
        <v>0</v>
      </c>
      <c r="AT18" s="84">
        <v>0</v>
      </c>
      <c r="AU18" s="84"/>
      <c r="AV18" s="84"/>
      <c r="AW18" s="84"/>
      <c r="AX18" s="84"/>
      <c r="AY18" s="84"/>
      <c r="AZ18" s="84"/>
      <c r="BA18" s="84"/>
      <c r="BB18" s="84"/>
    </row>
    <row r="19" spans="1:54" x14ac:dyDescent="0.2">
      <c r="A19" s="69" t="s">
        <v>450</v>
      </c>
      <c r="B19" s="69" t="s">
        <v>456</v>
      </c>
      <c r="C19" s="70"/>
      <c r="D19" s="71"/>
      <c r="E19" s="72"/>
      <c r="F19" s="73"/>
      <c r="G19" s="70"/>
      <c r="H19" s="74"/>
      <c r="I19" s="75"/>
      <c r="J19" s="75"/>
      <c r="K19" s="36"/>
      <c r="L19" s="82"/>
      <c r="M19" s="82"/>
      <c r="N19" s="77"/>
      <c r="O19" s="84" t="s">
        <v>500</v>
      </c>
      <c r="P19" s="86">
        <v>44024.098692129628</v>
      </c>
      <c r="Q19" s="84" t="s">
        <v>657</v>
      </c>
      <c r="R19" s="84"/>
      <c r="S19" s="84"/>
      <c r="T19" s="84" t="s">
        <v>834</v>
      </c>
      <c r="U19" s="84"/>
      <c r="V19" s="87" t="str">
        <f>HYPERLINK("http://pbs.twimg.com/profile_images/1281687475505725445/nw0dEdbN_normal.jpg")</f>
        <v>http://pbs.twimg.com/profile_images/1281687475505725445/nw0dEdbN_normal.jpg</v>
      </c>
      <c r="W19" s="86">
        <v>44024.098692129628</v>
      </c>
      <c r="X19" s="90">
        <v>44024</v>
      </c>
      <c r="Y19" s="92" t="s">
        <v>1252</v>
      </c>
      <c r="Z19" s="87" t="str">
        <f>HYPERLINK("https://twitter.com/biracialconser1/status/1282138138870243329")</f>
        <v>https://twitter.com/biracialconser1/status/1282138138870243329</v>
      </c>
      <c r="AA19" s="84"/>
      <c r="AB19" s="84"/>
      <c r="AC19" s="92" t="s">
        <v>1674</v>
      </c>
      <c r="AD19" s="84"/>
      <c r="AE19" s="84" t="b">
        <v>0</v>
      </c>
      <c r="AF19" s="84">
        <v>0</v>
      </c>
      <c r="AG19" s="92" t="s">
        <v>1724</v>
      </c>
      <c r="AH19" s="84" t="b">
        <v>0</v>
      </c>
      <c r="AI19" s="84" t="s">
        <v>1751</v>
      </c>
      <c r="AJ19" s="84"/>
      <c r="AK19" s="92" t="s">
        <v>1724</v>
      </c>
      <c r="AL19" s="84" t="b">
        <v>0</v>
      </c>
      <c r="AM19" s="84">
        <v>51</v>
      </c>
      <c r="AN19" s="92" t="s">
        <v>1680</v>
      </c>
      <c r="AO19" s="84" t="s">
        <v>1763</v>
      </c>
      <c r="AP19" s="84" t="b">
        <v>0</v>
      </c>
      <c r="AQ19" s="92" t="s">
        <v>1680</v>
      </c>
      <c r="AR19" s="84" t="s">
        <v>179</v>
      </c>
      <c r="AS19" s="84">
        <v>0</v>
      </c>
      <c r="AT19" s="84">
        <v>0</v>
      </c>
      <c r="AU19" s="84"/>
      <c r="AV19" s="84"/>
      <c r="AW19" s="84"/>
      <c r="AX19" s="84"/>
      <c r="AY19" s="84"/>
      <c r="AZ19" s="84"/>
      <c r="BA19" s="84"/>
      <c r="BB19" s="84"/>
    </row>
    <row r="20" spans="1:54" x14ac:dyDescent="0.2">
      <c r="A20" s="69" t="s">
        <v>448</v>
      </c>
      <c r="B20" s="69" t="s">
        <v>442</v>
      </c>
      <c r="C20" s="70"/>
      <c r="D20" s="71"/>
      <c r="E20" s="72"/>
      <c r="F20" s="73"/>
      <c r="G20" s="70"/>
      <c r="H20" s="74"/>
      <c r="I20" s="75"/>
      <c r="J20" s="75"/>
      <c r="K20" s="36"/>
      <c r="L20" s="82"/>
      <c r="M20" s="82"/>
      <c r="N20" s="77"/>
      <c r="O20" s="84" t="s">
        <v>500</v>
      </c>
      <c r="P20" s="86">
        <v>44024.089583333334</v>
      </c>
      <c r="Q20" s="84" t="s">
        <v>718</v>
      </c>
      <c r="R20" s="84"/>
      <c r="S20" s="84"/>
      <c r="T20" s="84"/>
      <c r="U20" s="84"/>
      <c r="V20" s="87" t="str">
        <f>HYPERLINK("http://pbs.twimg.com/profile_images/1088451846711042048/4Srq1JXX_normal.jpg")</f>
        <v>http://pbs.twimg.com/profile_images/1088451846711042048/4Srq1JXX_normal.jpg</v>
      </c>
      <c r="W20" s="86">
        <v>44024.089583333334</v>
      </c>
      <c r="X20" s="90">
        <v>44024</v>
      </c>
      <c r="Y20" s="92" t="s">
        <v>1249</v>
      </c>
      <c r="Z20" s="87" t="str">
        <f>HYPERLINK("https://twitter.com/davidfit/status/1282134837969788928")</f>
        <v>https://twitter.com/davidfit/status/1282134837969788928</v>
      </c>
      <c r="AA20" s="84"/>
      <c r="AB20" s="84"/>
      <c r="AC20" s="92" t="s">
        <v>1671</v>
      </c>
      <c r="AD20" s="84"/>
      <c r="AE20" s="84" t="b">
        <v>0</v>
      </c>
      <c r="AF20" s="84">
        <v>0</v>
      </c>
      <c r="AG20" s="92" t="s">
        <v>1724</v>
      </c>
      <c r="AH20" s="84" t="b">
        <v>0</v>
      </c>
      <c r="AI20" s="84" t="s">
        <v>1751</v>
      </c>
      <c r="AJ20" s="84"/>
      <c r="AK20" s="92" t="s">
        <v>1724</v>
      </c>
      <c r="AL20" s="84" t="b">
        <v>0</v>
      </c>
      <c r="AM20" s="84">
        <v>5</v>
      </c>
      <c r="AN20" s="92" t="s">
        <v>1695</v>
      </c>
      <c r="AO20" s="84" t="s">
        <v>1766</v>
      </c>
      <c r="AP20" s="84" t="b">
        <v>0</v>
      </c>
      <c r="AQ20" s="92" t="s">
        <v>1695</v>
      </c>
      <c r="AR20" s="84" t="s">
        <v>179</v>
      </c>
      <c r="AS20" s="84">
        <v>0</v>
      </c>
      <c r="AT20" s="84">
        <v>0</v>
      </c>
      <c r="AU20" s="84"/>
      <c r="AV20" s="84"/>
      <c r="AW20" s="84"/>
      <c r="AX20" s="84"/>
      <c r="AY20" s="84"/>
      <c r="AZ20" s="84"/>
      <c r="BA20" s="84"/>
      <c r="BB20" s="84"/>
    </row>
    <row r="21" spans="1:54" x14ac:dyDescent="0.2">
      <c r="A21" s="69" t="s">
        <v>448</v>
      </c>
      <c r="B21" s="69" t="s">
        <v>442</v>
      </c>
      <c r="C21" s="70"/>
      <c r="D21" s="71"/>
      <c r="E21" s="72"/>
      <c r="F21" s="73"/>
      <c r="G21" s="70"/>
      <c r="H21" s="74"/>
      <c r="I21" s="75"/>
      <c r="J21" s="75"/>
      <c r="K21" s="36"/>
      <c r="L21" s="82"/>
      <c r="M21" s="82"/>
      <c r="N21" s="77"/>
      <c r="O21" s="84" t="s">
        <v>500</v>
      </c>
      <c r="P21" s="86">
        <v>44024.089548611111</v>
      </c>
      <c r="Q21" s="84" t="s">
        <v>720</v>
      </c>
      <c r="R21" s="84"/>
      <c r="S21" s="84"/>
      <c r="T21" s="84"/>
      <c r="U21" s="84"/>
      <c r="V21" s="87" t="str">
        <f>HYPERLINK("http://pbs.twimg.com/profile_images/1088451846711042048/4Srq1JXX_normal.jpg")</f>
        <v>http://pbs.twimg.com/profile_images/1088451846711042048/4Srq1JXX_normal.jpg</v>
      </c>
      <c r="W21" s="86">
        <v>44024.089548611111</v>
      </c>
      <c r="X21" s="90">
        <v>44024</v>
      </c>
      <c r="Y21" s="92" t="s">
        <v>1248</v>
      </c>
      <c r="Z21" s="87" t="str">
        <f>HYPERLINK("https://twitter.com/davidfit/status/1282134824770310144")</f>
        <v>https://twitter.com/davidfit/status/1282134824770310144</v>
      </c>
      <c r="AA21" s="84"/>
      <c r="AB21" s="84"/>
      <c r="AC21" s="92" t="s">
        <v>1670</v>
      </c>
      <c r="AD21" s="84"/>
      <c r="AE21" s="84" t="b">
        <v>0</v>
      </c>
      <c r="AF21" s="84">
        <v>0</v>
      </c>
      <c r="AG21" s="92" t="s">
        <v>1724</v>
      </c>
      <c r="AH21" s="84" t="b">
        <v>0</v>
      </c>
      <c r="AI21" s="84" t="s">
        <v>1751</v>
      </c>
      <c r="AJ21" s="84"/>
      <c r="AK21" s="92" t="s">
        <v>1724</v>
      </c>
      <c r="AL21" s="84" t="b">
        <v>0</v>
      </c>
      <c r="AM21" s="84">
        <v>8</v>
      </c>
      <c r="AN21" s="92" t="s">
        <v>1699</v>
      </c>
      <c r="AO21" s="84" t="s">
        <v>1766</v>
      </c>
      <c r="AP21" s="84" t="b">
        <v>0</v>
      </c>
      <c r="AQ21" s="92" t="s">
        <v>1699</v>
      </c>
      <c r="AR21" s="84" t="s">
        <v>179</v>
      </c>
      <c r="AS21" s="84">
        <v>0</v>
      </c>
      <c r="AT21" s="84">
        <v>0</v>
      </c>
      <c r="AU21" s="84"/>
      <c r="AV21" s="84"/>
      <c r="AW21" s="84"/>
      <c r="AX21" s="84"/>
      <c r="AY21" s="84"/>
      <c r="AZ21" s="84"/>
      <c r="BA21" s="84"/>
      <c r="BB21" s="84"/>
    </row>
    <row r="22" spans="1:54" x14ac:dyDescent="0.2">
      <c r="A22" s="69" t="s">
        <v>447</v>
      </c>
      <c r="B22" s="69" t="s">
        <v>442</v>
      </c>
      <c r="C22" s="70"/>
      <c r="D22" s="71"/>
      <c r="E22" s="72"/>
      <c r="F22" s="73"/>
      <c r="G22" s="70"/>
      <c r="H22" s="74"/>
      <c r="I22" s="75"/>
      <c r="J22" s="75"/>
      <c r="K22" s="36"/>
      <c r="L22" s="82"/>
      <c r="M22" s="82"/>
      <c r="N22" s="77"/>
      <c r="O22" s="84" t="s">
        <v>500</v>
      </c>
      <c r="P22" s="86">
        <v>44024.055543981478</v>
      </c>
      <c r="Q22" s="84" t="s">
        <v>720</v>
      </c>
      <c r="R22" s="84"/>
      <c r="S22" s="84"/>
      <c r="T22" s="84"/>
      <c r="U22" s="84"/>
      <c r="V22" s="87" t="str">
        <f>HYPERLINK("http://pbs.twimg.com/profile_images/876361751260000256/w91Rm_H6_normal.jpg")</f>
        <v>http://pbs.twimg.com/profile_images/876361751260000256/w91Rm_H6_normal.jpg</v>
      </c>
      <c r="W22" s="86">
        <v>44024.055543981478</v>
      </c>
      <c r="X22" s="90">
        <v>44024</v>
      </c>
      <c r="Y22" s="92" t="s">
        <v>1247</v>
      </c>
      <c r="Z22" s="87" t="str">
        <f>HYPERLINK("https://twitter.com/conchbar17/status/1282122501837946880")</f>
        <v>https://twitter.com/conchbar17/status/1282122501837946880</v>
      </c>
      <c r="AA22" s="84"/>
      <c r="AB22" s="84"/>
      <c r="AC22" s="92" t="s">
        <v>1669</v>
      </c>
      <c r="AD22" s="84"/>
      <c r="AE22" s="84" t="b">
        <v>0</v>
      </c>
      <c r="AF22" s="84">
        <v>0</v>
      </c>
      <c r="AG22" s="92" t="s">
        <v>1724</v>
      </c>
      <c r="AH22" s="84" t="b">
        <v>0</v>
      </c>
      <c r="AI22" s="84" t="s">
        <v>1751</v>
      </c>
      <c r="AJ22" s="84"/>
      <c r="AK22" s="92" t="s">
        <v>1724</v>
      </c>
      <c r="AL22" s="84" t="b">
        <v>0</v>
      </c>
      <c r="AM22" s="84">
        <v>8</v>
      </c>
      <c r="AN22" s="92" t="s">
        <v>1699</v>
      </c>
      <c r="AO22" s="84" t="s">
        <v>1768</v>
      </c>
      <c r="AP22" s="84" t="b">
        <v>0</v>
      </c>
      <c r="AQ22" s="92" t="s">
        <v>1699</v>
      </c>
      <c r="AR22" s="84" t="s">
        <v>179</v>
      </c>
      <c r="AS22" s="84">
        <v>0</v>
      </c>
      <c r="AT22" s="84">
        <v>0</v>
      </c>
      <c r="AU22" s="84"/>
      <c r="AV22" s="84"/>
      <c r="AW22" s="84"/>
      <c r="AX22" s="84"/>
      <c r="AY22" s="84"/>
      <c r="AZ22" s="84"/>
      <c r="BA22" s="84"/>
      <c r="BB22" s="84"/>
    </row>
    <row r="23" spans="1:54" x14ac:dyDescent="0.2">
      <c r="A23" s="69" t="s">
        <v>446</v>
      </c>
      <c r="B23" s="69" t="s">
        <v>474</v>
      </c>
      <c r="C23" s="70"/>
      <c r="D23" s="71"/>
      <c r="E23" s="72"/>
      <c r="F23" s="73"/>
      <c r="G23" s="70"/>
      <c r="H23" s="74"/>
      <c r="I23" s="75"/>
      <c r="J23" s="75"/>
      <c r="K23" s="36"/>
      <c r="L23" s="82"/>
      <c r="M23" s="82"/>
      <c r="N23" s="77"/>
      <c r="O23" s="84" t="s">
        <v>502</v>
      </c>
      <c r="P23" s="86">
        <v>44024.053020833337</v>
      </c>
      <c r="Q23" s="84" t="s">
        <v>744</v>
      </c>
      <c r="R23" s="84"/>
      <c r="S23" s="84"/>
      <c r="T23" s="84"/>
      <c r="U23" s="84"/>
      <c r="V23" s="87" t="str">
        <f>HYPERLINK("http://pbs.twimg.com/profile_images/3153830054/0ef08539b1652632613d80a41894712f_normal.jpeg")</f>
        <v>http://pbs.twimg.com/profile_images/3153830054/0ef08539b1652632613d80a41894712f_normal.jpeg</v>
      </c>
      <c r="W23" s="86">
        <v>44024.053020833337</v>
      </c>
      <c r="X23" s="90">
        <v>44024</v>
      </c>
      <c r="Y23" s="92" t="s">
        <v>1246</v>
      </c>
      <c r="Z23" s="87" t="str">
        <f>HYPERLINK("https://twitter.com/davhalter/status/1282121587727069185")</f>
        <v>https://twitter.com/davhalter/status/1282121587727069185</v>
      </c>
      <c r="AA23" s="84"/>
      <c r="AB23" s="84"/>
      <c r="AC23" s="92" t="s">
        <v>1668</v>
      </c>
      <c r="AD23" s="84"/>
      <c r="AE23" s="84" t="b">
        <v>0</v>
      </c>
      <c r="AF23" s="84">
        <v>0</v>
      </c>
      <c r="AG23" s="92" t="s">
        <v>1724</v>
      </c>
      <c r="AH23" s="84" t="b">
        <v>0</v>
      </c>
      <c r="AI23" s="84" t="s">
        <v>1751</v>
      </c>
      <c r="AJ23" s="84"/>
      <c r="AK23" s="92" t="s">
        <v>1724</v>
      </c>
      <c r="AL23" s="84" t="b">
        <v>0</v>
      </c>
      <c r="AM23" s="84">
        <v>2</v>
      </c>
      <c r="AN23" s="92" t="s">
        <v>1666</v>
      </c>
      <c r="AO23" s="84" t="s">
        <v>1768</v>
      </c>
      <c r="AP23" s="84" t="b">
        <v>0</v>
      </c>
      <c r="AQ23" s="92" t="s">
        <v>1666</v>
      </c>
      <c r="AR23" s="84" t="s">
        <v>179</v>
      </c>
      <c r="AS23" s="84">
        <v>0</v>
      </c>
      <c r="AT23" s="84">
        <v>0</v>
      </c>
      <c r="AU23" s="84"/>
      <c r="AV23" s="84"/>
      <c r="AW23" s="84"/>
      <c r="AX23" s="84"/>
      <c r="AY23" s="84"/>
      <c r="AZ23" s="84"/>
      <c r="BA23" s="84"/>
      <c r="BB23" s="84"/>
    </row>
    <row r="24" spans="1:54" x14ac:dyDescent="0.2">
      <c r="A24" s="69" t="s">
        <v>446</v>
      </c>
      <c r="B24" s="69" t="s">
        <v>494</v>
      </c>
      <c r="C24" s="70"/>
      <c r="D24" s="71"/>
      <c r="E24" s="72"/>
      <c r="F24" s="73"/>
      <c r="G24" s="70"/>
      <c r="H24" s="74"/>
      <c r="I24" s="75"/>
      <c r="J24" s="75"/>
      <c r="K24" s="36"/>
      <c r="L24" s="82"/>
      <c r="M24" s="82"/>
      <c r="N24" s="77"/>
      <c r="O24" s="84" t="s">
        <v>502</v>
      </c>
      <c r="P24" s="86">
        <v>44024.053020833337</v>
      </c>
      <c r="Q24" s="84" t="s">
        <v>744</v>
      </c>
      <c r="R24" s="84"/>
      <c r="S24" s="84"/>
      <c r="T24" s="84"/>
      <c r="U24" s="84"/>
      <c r="V24" s="87" t="str">
        <f>HYPERLINK("http://pbs.twimg.com/profile_images/3153830054/0ef08539b1652632613d80a41894712f_normal.jpeg")</f>
        <v>http://pbs.twimg.com/profile_images/3153830054/0ef08539b1652632613d80a41894712f_normal.jpeg</v>
      </c>
      <c r="W24" s="86">
        <v>44024.053020833337</v>
      </c>
      <c r="X24" s="90">
        <v>44024</v>
      </c>
      <c r="Y24" s="92" t="s">
        <v>1246</v>
      </c>
      <c r="Z24" s="87" t="str">
        <f>HYPERLINK("https://twitter.com/davhalter/status/1282121587727069185")</f>
        <v>https://twitter.com/davhalter/status/1282121587727069185</v>
      </c>
      <c r="AA24" s="84"/>
      <c r="AB24" s="84"/>
      <c r="AC24" s="92" t="s">
        <v>1668</v>
      </c>
      <c r="AD24" s="84"/>
      <c r="AE24" s="84" t="b">
        <v>0</v>
      </c>
      <c r="AF24" s="84">
        <v>0</v>
      </c>
      <c r="AG24" s="92" t="s">
        <v>1724</v>
      </c>
      <c r="AH24" s="84" t="b">
        <v>0</v>
      </c>
      <c r="AI24" s="84" t="s">
        <v>1751</v>
      </c>
      <c r="AJ24" s="84"/>
      <c r="AK24" s="92" t="s">
        <v>1724</v>
      </c>
      <c r="AL24" s="84" t="b">
        <v>0</v>
      </c>
      <c r="AM24" s="84">
        <v>2</v>
      </c>
      <c r="AN24" s="92" t="s">
        <v>1666</v>
      </c>
      <c r="AO24" s="84" t="s">
        <v>1768</v>
      </c>
      <c r="AP24" s="84" t="b">
        <v>0</v>
      </c>
      <c r="AQ24" s="92" t="s">
        <v>1666</v>
      </c>
      <c r="AR24" s="84" t="s">
        <v>179</v>
      </c>
      <c r="AS24" s="84">
        <v>0</v>
      </c>
      <c r="AT24" s="84">
        <v>0</v>
      </c>
      <c r="AU24" s="84"/>
      <c r="AV24" s="84"/>
      <c r="AW24" s="84"/>
      <c r="AX24" s="84"/>
      <c r="AY24" s="84"/>
      <c r="AZ24" s="84"/>
      <c r="BA24" s="84"/>
      <c r="BB24" s="84"/>
    </row>
    <row r="25" spans="1:54" x14ac:dyDescent="0.2">
      <c r="A25" s="69" t="s">
        <v>446</v>
      </c>
      <c r="B25" s="69" t="s">
        <v>495</v>
      </c>
      <c r="C25" s="70"/>
      <c r="D25" s="71"/>
      <c r="E25" s="72"/>
      <c r="F25" s="73"/>
      <c r="G25" s="70"/>
      <c r="H25" s="74"/>
      <c r="I25" s="75"/>
      <c r="J25" s="75"/>
      <c r="K25" s="36"/>
      <c r="L25" s="82"/>
      <c r="M25" s="82"/>
      <c r="N25" s="77"/>
      <c r="O25" s="84" t="s">
        <v>502</v>
      </c>
      <c r="P25" s="86">
        <v>44024.053020833337</v>
      </c>
      <c r="Q25" s="84" t="s">
        <v>744</v>
      </c>
      <c r="R25" s="84"/>
      <c r="S25" s="84"/>
      <c r="T25" s="84"/>
      <c r="U25" s="84"/>
      <c r="V25" s="87" t="str">
        <f>HYPERLINK("http://pbs.twimg.com/profile_images/3153830054/0ef08539b1652632613d80a41894712f_normal.jpeg")</f>
        <v>http://pbs.twimg.com/profile_images/3153830054/0ef08539b1652632613d80a41894712f_normal.jpeg</v>
      </c>
      <c r="W25" s="86">
        <v>44024.053020833337</v>
      </c>
      <c r="X25" s="90">
        <v>44024</v>
      </c>
      <c r="Y25" s="92" t="s">
        <v>1246</v>
      </c>
      <c r="Z25" s="87" t="str">
        <f>HYPERLINK("https://twitter.com/davhalter/status/1282121587727069185")</f>
        <v>https://twitter.com/davhalter/status/1282121587727069185</v>
      </c>
      <c r="AA25" s="84"/>
      <c r="AB25" s="84"/>
      <c r="AC25" s="92" t="s">
        <v>1668</v>
      </c>
      <c r="AD25" s="84"/>
      <c r="AE25" s="84" t="b">
        <v>0</v>
      </c>
      <c r="AF25" s="84">
        <v>0</v>
      </c>
      <c r="AG25" s="92" t="s">
        <v>1724</v>
      </c>
      <c r="AH25" s="84" t="b">
        <v>0</v>
      </c>
      <c r="AI25" s="84" t="s">
        <v>1751</v>
      </c>
      <c r="AJ25" s="84"/>
      <c r="AK25" s="92" t="s">
        <v>1724</v>
      </c>
      <c r="AL25" s="84" t="b">
        <v>0</v>
      </c>
      <c r="AM25" s="84">
        <v>2</v>
      </c>
      <c r="AN25" s="92" t="s">
        <v>1666</v>
      </c>
      <c r="AO25" s="84" t="s">
        <v>1768</v>
      </c>
      <c r="AP25" s="84" t="b">
        <v>0</v>
      </c>
      <c r="AQ25" s="92" t="s">
        <v>1666</v>
      </c>
      <c r="AR25" s="84" t="s">
        <v>179</v>
      </c>
      <c r="AS25" s="84">
        <v>0</v>
      </c>
      <c r="AT25" s="84">
        <v>0</v>
      </c>
      <c r="AU25" s="84"/>
      <c r="AV25" s="84"/>
      <c r="AW25" s="84"/>
      <c r="AX25" s="84"/>
      <c r="AY25" s="84"/>
      <c r="AZ25" s="84"/>
      <c r="BA25" s="84"/>
      <c r="BB25" s="84"/>
    </row>
    <row r="26" spans="1:54" x14ac:dyDescent="0.2">
      <c r="A26" s="69" t="s">
        <v>446</v>
      </c>
      <c r="B26" s="69" t="s">
        <v>496</v>
      </c>
      <c r="C26" s="70"/>
      <c r="D26" s="71"/>
      <c r="E26" s="72"/>
      <c r="F26" s="73"/>
      <c r="G26" s="70"/>
      <c r="H26" s="74"/>
      <c r="I26" s="75"/>
      <c r="J26" s="75"/>
      <c r="K26" s="36"/>
      <c r="L26" s="82"/>
      <c r="M26" s="82"/>
      <c r="N26" s="77"/>
      <c r="O26" s="84" t="s">
        <v>503</v>
      </c>
      <c r="P26" s="86">
        <v>44024.053020833337</v>
      </c>
      <c r="Q26" s="84" t="s">
        <v>744</v>
      </c>
      <c r="R26" s="84"/>
      <c r="S26" s="84"/>
      <c r="T26" s="84"/>
      <c r="U26" s="84"/>
      <c r="V26" s="87" t="str">
        <f>HYPERLINK("http://pbs.twimg.com/profile_images/3153830054/0ef08539b1652632613d80a41894712f_normal.jpeg")</f>
        <v>http://pbs.twimg.com/profile_images/3153830054/0ef08539b1652632613d80a41894712f_normal.jpeg</v>
      </c>
      <c r="W26" s="86">
        <v>44024.053020833337</v>
      </c>
      <c r="X26" s="90">
        <v>44024</v>
      </c>
      <c r="Y26" s="92" t="s">
        <v>1246</v>
      </c>
      <c r="Z26" s="87" t="str">
        <f>HYPERLINK("https://twitter.com/davhalter/status/1282121587727069185")</f>
        <v>https://twitter.com/davhalter/status/1282121587727069185</v>
      </c>
      <c r="AA26" s="84"/>
      <c r="AB26" s="84"/>
      <c r="AC26" s="92" t="s">
        <v>1668</v>
      </c>
      <c r="AD26" s="84"/>
      <c r="AE26" s="84" t="b">
        <v>0</v>
      </c>
      <c r="AF26" s="84">
        <v>0</v>
      </c>
      <c r="AG26" s="92" t="s">
        <v>1724</v>
      </c>
      <c r="AH26" s="84" t="b">
        <v>0</v>
      </c>
      <c r="AI26" s="84" t="s">
        <v>1751</v>
      </c>
      <c r="AJ26" s="84"/>
      <c r="AK26" s="92" t="s">
        <v>1724</v>
      </c>
      <c r="AL26" s="84" t="b">
        <v>0</v>
      </c>
      <c r="AM26" s="84">
        <v>2</v>
      </c>
      <c r="AN26" s="92" t="s">
        <v>1666</v>
      </c>
      <c r="AO26" s="84" t="s">
        <v>1768</v>
      </c>
      <c r="AP26" s="84" t="b">
        <v>0</v>
      </c>
      <c r="AQ26" s="92" t="s">
        <v>1666</v>
      </c>
      <c r="AR26" s="84" t="s">
        <v>179</v>
      </c>
      <c r="AS26" s="84">
        <v>0</v>
      </c>
      <c r="AT26" s="84">
        <v>0</v>
      </c>
      <c r="AU26" s="84"/>
      <c r="AV26" s="84"/>
      <c r="AW26" s="84"/>
      <c r="AX26" s="84"/>
      <c r="AY26" s="84"/>
      <c r="AZ26" s="84"/>
      <c r="BA26" s="84"/>
      <c r="BB26" s="84"/>
    </row>
    <row r="27" spans="1:54" x14ac:dyDescent="0.2">
      <c r="A27" s="69" t="s">
        <v>446</v>
      </c>
      <c r="B27" s="69" t="s">
        <v>442</v>
      </c>
      <c r="C27" s="70"/>
      <c r="D27" s="71"/>
      <c r="E27" s="72"/>
      <c r="F27" s="73"/>
      <c r="G27" s="70"/>
      <c r="H27" s="74"/>
      <c r="I27" s="75"/>
      <c r="J27" s="75"/>
      <c r="K27" s="36"/>
      <c r="L27" s="82"/>
      <c r="M27" s="82"/>
      <c r="N27" s="77"/>
      <c r="O27" s="84" t="s">
        <v>500</v>
      </c>
      <c r="P27" s="86">
        <v>44024.053020833337</v>
      </c>
      <c r="Q27" s="84" t="s">
        <v>744</v>
      </c>
      <c r="R27" s="84"/>
      <c r="S27" s="84"/>
      <c r="T27" s="84"/>
      <c r="U27" s="84"/>
      <c r="V27" s="87" t="str">
        <f>HYPERLINK("http://pbs.twimg.com/profile_images/3153830054/0ef08539b1652632613d80a41894712f_normal.jpeg")</f>
        <v>http://pbs.twimg.com/profile_images/3153830054/0ef08539b1652632613d80a41894712f_normal.jpeg</v>
      </c>
      <c r="W27" s="86">
        <v>44024.053020833337</v>
      </c>
      <c r="X27" s="90">
        <v>44024</v>
      </c>
      <c r="Y27" s="92" t="s">
        <v>1246</v>
      </c>
      <c r="Z27" s="87" t="str">
        <f>HYPERLINK("https://twitter.com/davhalter/status/1282121587727069185")</f>
        <v>https://twitter.com/davhalter/status/1282121587727069185</v>
      </c>
      <c r="AA27" s="84"/>
      <c r="AB27" s="84"/>
      <c r="AC27" s="92" t="s">
        <v>1668</v>
      </c>
      <c r="AD27" s="84"/>
      <c r="AE27" s="84" t="b">
        <v>0</v>
      </c>
      <c r="AF27" s="84">
        <v>0</v>
      </c>
      <c r="AG27" s="92" t="s">
        <v>1724</v>
      </c>
      <c r="AH27" s="84" t="b">
        <v>0</v>
      </c>
      <c r="AI27" s="84" t="s">
        <v>1751</v>
      </c>
      <c r="AJ27" s="84"/>
      <c r="AK27" s="92" t="s">
        <v>1724</v>
      </c>
      <c r="AL27" s="84" t="b">
        <v>0</v>
      </c>
      <c r="AM27" s="84">
        <v>2</v>
      </c>
      <c r="AN27" s="92" t="s">
        <v>1666</v>
      </c>
      <c r="AO27" s="84" t="s">
        <v>1768</v>
      </c>
      <c r="AP27" s="84" t="b">
        <v>0</v>
      </c>
      <c r="AQ27" s="92" t="s">
        <v>1666</v>
      </c>
      <c r="AR27" s="84" t="s">
        <v>179</v>
      </c>
      <c r="AS27" s="84">
        <v>0</v>
      </c>
      <c r="AT27" s="84">
        <v>0</v>
      </c>
      <c r="AU27" s="84"/>
      <c r="AV27" s="84"/>
      <c r="AW27" s="84"/>
      <c r="AX27" s="84"/>
      <c r="AY27" s="84"/>
      <c r="AZ27" s="84"/>
      <c r="BA27" s="84"/>
      <c r="BB27" s="84"/>
    </row>
    <row r="28" spans="1:54" x14ac:dyDescent="0.2">
      <c r="A28" s="69" t="s">
        <v>445</v>
      </c>
      <c r="B28" s="69" t="s">
        <v>456</v>
      </c>
      <c r="C28" s="70"/>
      <c r="D28" s="71"/>
      <c r="E28" s="72"/>
      <c r="F28" s="73"/>
      <c r="G28" s="70"/>
      <c r="H28" s="74"/>
      <c r="I28" s="75"/>
      <c r="J28" s="75"/>
      <c r="K28" s="36"/>
      <c r="L28" s="82"/>
      <c r="M28" s="82"/>
      <c r="N28" s="77"/>
      <c r="O28" s="84" t="s">
        <v>500</v>
      </c>
      <c r="P28" s="86">
        <v>44024.052372685182</v>
      </c>
      <c r="Q28" s="84" t="s">
        <v>657</v>
      </c>
      <c r="R28" s="84"/>
      <c r="S28" s="84"/>
      <c r="T28" s="84" t="s">
        <v>834</v>
      </c>
      <c r="U28" s="84"/>
      <c r="V28" s="87" t="str">
        <f>HYPERLINK("http://pbs.twimg.com/profile_images/1076563867780739074/C_C0RTpb_normal.jpg")</f>
        <v>http://pbs.twimg.com/profile_images/1076563867780739074/C_C0RTpb_normal.jpg</v>
      </c>
      <c r="W28" s="86">
        <v>44024.052372685182</v>
      </c>
      <c r="X28" s="90">
        <v>44024</v>
      </c>
      <c r="Y28" s="92" t="s">
        <v>1244</v>
      </c>
      <c r="Z28" s="87" t="str">
        <f>HYPERLINK("https://twitter.com/diaper_dan/status/1282121352275787776")</f>
        <v>https://twitter.com/diaper_dan/status/1282121352275787776</v>
      </c>
      <c r="AA28" s="84"/>
      <c r="AB28" s="84"/>
      <c r="AC28" s="92" t="s">
        <v>1665</v>
      </c>
      <c r="AD28" s="84"/>
      <c r="AE28" s="84" t="b">
        <v>0</v>
      </c>
      <c r="AF28" s="84">
        <v>0</v>
      </c>
      <c r="AG28" s="92" t="s">
        <v>1724</v>
      </c>
      <c r="AH28" s="84" t="b">
        <v>0</v>
      </c>
      <c r="AI28" s="84" t="s">
        <v>1751</v>
      </c>
      <c r="AJ28" s="84"/>
      <c r="AK28" s="92" t="s">
        <v>1724</v>
      </c>
      <c r="AL28" s="84" t="b">
        <v>0</v>
      </c>
      <c r="AM28" s="84">
        <v>51</v>
      </c>
      <c r="AN28" s="92" t="s">
        <v>1680</v>
      </c>
      <c r="AO28" s="84" t="s">
        <v>1763</v>
      </c>
      <c r="AP28" s="84" t="b">
        <v>0</v>
      </c>
      <c r="AQ28" s="92" t="s">
        <v>1680</v>
      </c>
      <c r="AR28" s="84" t="s">
        <v>179</v>
      </c>
      <c r="AS28" s="84">
        <v>0</v>
      </c>
      <c r="AT28" s="84">
        <v>0</v>
      </c>
      <c r="AU28" s="84"/>
      <c r="AV28" s="84"/>
      <c r="AW28" s="84"/>
      <c r="AX28" s="84"/>
      <c r="AY28" s="84"/>
      <c r="AZ28" s="84"/>
      <c r="BA28" s="84"/>
      <c r="BB28" s="84"/>
    </row>
    <row r="29" spans="1:54" x14ac:dyDescent="0.2">
      <c r="A29" s="69" t="s">
        <v>444</v>
      </c>
      <c r="B29" s="69" t="s">
        <v>442</v>
      </c>
      <c r="C29" s="70"/>
      <c r="D29" s="71"/>
      <c r="E29" s="72"/>
      <c r="F29" s="73"/>
      <c r="G29" s="70"/>
      <c r="H29" s="74"/>
      <c r="I29" s="75"/>
      <c r="J29" s="75"/>
      <c r="K29" s="36"/>
      <c r="L29" s="82"/>
      <c r="M29" s="82"/>
      <c r="N29" s="77"/>
      <c r="O29" s="84" t="s">
        <v>500</v>
      </c>
      <c r="P29" s="86">
        <v>44024.052303240744</v>
      </c>
      <c r="Q29" s="84" t="s">
        <v>720</v>
      </c>
      <c r="R29" s="84"/>
      <c r="S29" s="84"/>
      <c r="T29" s="84"/>
      <c r="U29" s="84"/>
      <c r="V29" s="87" t="str">
        <f>HYPERLINK("http://pbs.twimg.com/profile_images/1181352938637148160/cF7Z089F_normal.jpg")</f>
        <v>http://pbs.twimg.com/profile_images/1181352938637148160/cF7Z089F_normal.jpg</v>
      </c>
      <c r="W29" s="86">
        <v>44024.052303240744</v>
      </c>
      <c r="X29" s="90">
        <v>44024</v>
      </c>
      <c r="Y29" s="92" t="s">
        <v>1243</v>
      </c>
      <c r="Z29" s="87" t="str">
        <f>HYPERLINK("https://twitter.com/fedagentmark/status/1282121327709523968")</f>
        <v>https://twitter.com/fedagentmark/status/1282121327709523968</v>
      </c>
      <c r="AA29" s="84"/>
      <c r="AB29" s="84"/>
      <c r="AC29" s="92" t="s">
        <v>1664</v>
      </c>
      <c r="AD29" s="84"/>
      <c r="AE29" s="84" t="b">
        <v>0</v>
      </c>
      <c r="AF29" s="84">
        <v>0</v>
      </c>
      <c r="AG29" s="92" t="s">
        <v>1724</v>
      </c>
      <c r="AH29" s="84" t="b">
        <v>0</v>
      </c>
      <c r="AI29" s="84" t="s">
        <v>1751</v>
      </c>
      <c r="AJ29" s="84"/>
      <c r="AK29" s="92" t="s">
        <v>1724</v>
      </c>
      <c r="AL29" s="84" t="b">
        <v>0</v>
      </c>
      <c r="AM29" s="84">
        <v>8</v>
      </c>
      <c r="AN29" s="92" t="s">
        <v>1699</v>
      </c>
      <c r="AO29" s="84" t="s">
        <v>1768</v>
      </c>
      <c r="AP29" s="84" t="b">
        <v>0</v>
      </c>
      <c r="AQ29" s="92" t="s">
        <v>1699</v>
      </c>
      <c r="AR29" s="84" t="s">
        <v>179</v>
      </c>
      <c r="AS29" s="84">
        <v>0</v>
      </c>
      <c r="AT29" s="84">
        <v>0</v>
      </c>
      <c r="AU29" s="84"/>
      <c r="AV29" s="84"/>
      <c r="AW29" s="84"/>
      <c r="AX29" s="84"/>
      <c r="AY29" s="84"/>
      <c r="AZ29" s="84"/>
      <c r="BA29" s="84"/>
      <c r="BB29" s="84"/>
    </row>
    <row r="30" spans="1:54" x14ac:dyDescent="0.2">
      <c r="A30" s="69" t="s">
        <v>461</v>
      </c>
      <c r="B30" s="69" t="s">
        <v>497</v>
      </c>
      <c r="C30" s="70"/>
      <c r="D30" s="71"/>
      <c r="E30" s="72"/>
      <c r="F30" s="73"/>
      <c r="G30" s="70"/>
      <c r="H30" s="74"/>
      <c r="I30" s="75"/>
      <c r="J30" s="75"/>
      <c r="K30" s="36"/>
      <c r="L30" s="82"/>
      <c r="M30" s="82"/>
      <c r="N30" s="77"/>
      <c r="O30" s="84" t="s">
        <v>502</v>
      </c>
      <c r="P30" s="86">
        <v>44024.050925925927</v>
      </c>
      <c r="Q30" s="84" t="s">
        <v>750</v>
      </c>
      <c r="R30" s="84"/>
      <c r="S30" s="84"/>
      <c r="T30" s="84"/>
      <c r="U30" s="84"/>
      <c r="V30" s="87" t="str">
        <f>HYPERLINK("http://pbs.twimg.com/profile_images/1235239437447110656/t_0cPgjc_normal.jpg")</f>
        <v>http://pbs.twimg.com/profile_images/1235239437447110656/t_0cPgjc_normal.jpg</v>
      </c>
      <c r="W30" s="86">
        <v>44024.050925925927</v>
      </c>
      <c r="X30" s="90">
        <v>44024</v>
      </c>
      <c r="Y30" s="92" t="s">
        <v>1268</v>
      </c>
      <c r="Z30" s="87" t="str">
        <f>HYPERLINK("https://twitter.com/deplorqult45/status/1282120825076932608")</f>
        <v>https://twitter.com/deplorqult45/status/1282120825076932608</v>
      </c>
      <c r="AA30" s="84"/>
      <c r="AB30" s="84"/>
      <c r="AC30" s="92" t="s">
        <v>1691</v>
      </c>
      <c r="AD30" s="84"/>
      <c r="AE30" s="84" t="b">
        <v>0</v>
      </c>
      <c r="AF30" s="84">
        <v>0</v>
      </c>
      <c r="AG30" s="92" t="s">
        <v>1724</v>
      </c>
      <c r="AH30" s="84" t="b">
        <v>0</v>
      </c>
      <c r="AI30" s="84" t="s">
        <v>1751</v>
      </c>
      <c r="AJ30" s="84"/>
      <c r="AK30" s="92" t="s">
        <v>1724</v>
      </c>
      <c r="AL30" s="84" t="b">
        <v>0</v>
      </c>
      <c r="AM30" s="84">
        <v>3</v>
      </c>
      <c r="AN30" s="92" t="s">
        <v>1689</v>
      </c>
      <c r="AO30" s="84" t="s">
        <v>1763</v>
      </c>
      <c r="AP30" s="84" t="b">
        <v>0</v>
      </c>
      <c r="AQ30" s="92" t="s">
        <v>1689</v>
      </c>
      <c r="AR30" s="84" t="s">
        <v>179</v>
      </c>
      <c r="AS30" s="84">
        <v>0</v>
      </c>
      <c r="AT30" s="84">
        <v>0</v>
      </c>
      <c r="AU30" s="84"/>
      <c r="AV30" s="84"/>
      <c r="AW30" s="84"/>
      <c r="AX30" s="84"/>
      <c r="AY30" s="84"/>
      <c r="AZ30" s="84"/>
      <c r="BA30" s="84"/>
      <c r="BB30" s="84"/>
    </row>
    <row r="31" spans="1:54" x14ac:dyDescent="0.2">
      <c r="A31" s="69" t="s">
        <v>461</v>
      </c>
      <c r="B31" s="69" t="s">
        <v>498</v>
      </c>
      <c r="C31" s="70"/>
      <c r="D31" s="71"/>
      <c r="E31" s="72"/>
      <c r="F31" s="73"/>
      <c r="G31" s="70"/>
      <c r="H31" s="74"/>
      <c r="I31" s="75"/>
      <c r="J31" s="75"/>
      <c r="K31" s="36"/>
      <c r="L31" s="82"/>
      <c r="M31" s="82"/>
      <c r="N31" s="77"/>
      <c r="O31" s="84" t="s">
        <v>502</v>
      </c>
      <c r="P31" s="86">
        <v>44024.050925925927</v>
      </c>
      <c r="Q31" s="84" t="s">
        <v>750</v>
      </c>
      <c r="R31" s="84"/>
      <c r="S31" s="84"/>
      <c r="T31" s="84"/>
      <c r="U31" s="84"/>
      <c r="V31" s="87" t="str">
        <f>HYPERLINK("http://pbs.twimg.com/profile_images/1235239437447110656/t_0cPgjc_normal.jpg")</f>
        <v>http://pbs.twimg.com/profile_images/1235239437447110656/t_0cPgjc_normal.jpg</v>
      </c>
      <c r="W31" s="86">
        <v>44024.050925925927</v>
      </c>
      <c r="X31" s="90">
        <v>44024</v>
      </c>
      <c r="Y31" s="92" t="s">
        <v>1268</v>
      </c>
      <c r="Z31" s="87" t="str">
        <f>HYPERLINK("https://twitter.com/deplorqult45/status/1282120825076932608")</f>
        <v>https://twitter.com/deplorqult45/status/1282120825076932608</v>
      </c>
      <c r="AA31" s="84"/>
      <c r="AB31" s="84"/>
      <c r="AC31" s="92" t="s">
        <v>1691</v>
      </c>
      <c r="AD31" s="84"/>
      <c r="AE31" s="84" t="b">
        <v>0</v>
      </c>
      <c r="AF31" s="84">
        <v>0</v>
      </c>
      <c r="AG31" s="92" t="s">
        <v>1724</v>
      </c>
      <c r="AH31" s="84" t="b">
        <v>0</v>
      </c>
      <c r="AI31" s="84" t="s">
        <v>1751</v>
      </c>
      <c r="AJ31" s="84"/>
      <c r="AK31" s="92" t="s">
        <v>1724</v>
      </c>
      <c r="AL31" s="84" t="b">
        <v>0</v>
      </c>
      <c r="AM31" s="84">
        <v>3</v>
      </c>
      <c r="AN31" s="92" t="s">
        <v>1689</v>
      </c>
      <c r="AO31" s="84" t="s">
        <v>1763</v>
      </c>
      <c r="AP31" s="84" t="b">
        <v>0</v>
      </c>
      <c r="AQ31" s="92" t="s">
        <v>1689</v>
      </c>
      <c r="AR31" s="84" t="s">
        <v>179</v>
      </c>
      <c r="AS31" s="84">
        <v>0</v>
      </c>
      <c r="AT31" s="84">
        <v>0</v>
      </c>
      <c r="AU31" s="84"/>
      <c r="AV31" s="84"/>
      <c r="AW31" s="84"/>
      <c r="AX31" s="84"/>
      <c r="AY31" s="84"/>
      <c r="AZ31" s="84"/>
      <c r="BA31" s="84"/>
      <c r="BB31" s="84"/>
    </row>
    <row r="32" spans="1:54" x14ac:dyDescent="0.2">
      <c r="A32" s="69" t="s">
        <v>461</v>
      </c>
      <c r="B32" s="69" t="s">
        <v>499</v>
      </c>
      <c r="C32" s="70"/>
      <c r="D32" s="71"/>
      <c r="E32" s="72"/>
      <c r="F32" s="73"/>
      <c r="G32" s="70"/>
      <c r="H32" s="74"/>
      <c r="I32" s="75"/>
      <c r="J32" s="75"/>
      <c r="K32" s="36"/>
      <c r="L32" s="82"/>
      <c r="M32" s="82"/>
      <c r="N32" s="77"/>
      <c r="O32" s="84" t="s">
        <v>502</v>
      </c>
      <c r="P32" s="86">
        <v>44024.050925925927</v>
      </c>
      <c r="Q32" s="84" t="s">
        <v>750</v>
      </c>
      <c r="R32" s="84"/>
      <c r="S32" s="84"/>
      <c r="T32" s="84"/>
      <c r="U32" s="84"/>
      <c r="V32" s="87" t="str">
        <f>HYPERLINK("http://pbs.twimg.com/profile_images/1235239437447110656/t_0cPgjc_normal.jpg")</f>
        <v>http://pbs.twimg.com/profile_images/1235239437447110656/t_0cPgjc_normal.jpg</v>
      </c>
      <c r="W32" s="86">
        <v>44024.050925925927</v>
      </c>
      <c r="X32" s="90">
        <v>44024</v>
      </c>
      <c r="Y32" s="92" t="s">
        <v>1268</v>
      </c>
      <c r="Z32" s="87" t="str">
        <f>HYPERLINK("https://twitter.com/deplorqult45/status/1282120825076932608")</f>
        <v>https://twitter.com/deplorqult45/status/1282120825076932608</v>
      </c>
      <c r="AA32" s="84"/>
      <c r="AB32" s="84"/>
      <c r="AC32" s="92" t="s">
        <v>1691</v>
      </c>
      <c r="AD32" s="84"/>
      <c r="AE32" s="84" t="b">
        <v>0</v>
      </c>
      <c r="AF32" s="84">
        <v>0</v>
      </c>
      <c r="AG32" s="92" t="s">
        <v>1724</v>
      </c>
      <c r="AH32" s="84" t="b">
        <v>0</v>
      </c>
      <c r="AI32" s="84" t="s">
        <v>1751</v>
      </c>
      <c r="AJ32" s="84"/>
      <c r="AK32" s="92" t="s">
        <v>1724</v>
      </c>
      <c r="AL32" s="84" t="b">
        <v>0</v>
      </c>
      <c r="AM32" s="84">
        <v>3</v>
      </c>
      <c r="AN32" s="92" t="s">
        <v>1689</v>
      </c>
      <c r="AO32" s="84" t="s">
        <v>1763</v>
      </c>
      <c r="AP32" s="84" t="b">
        <v>0</v>
      </c>
      <c r="AQ32" s="92" t="s">
        <v>1689</v>
      </c>
      <c r="AR32" s="84" t="s">
        <v>179</v>
      </c>
      <c r="AS32" s="84">
        <v>0</v>
      </c>
      <c r="AT32" s="84">
        <v>0</v>
      </c>
      <c r="AU32" s="84"/>
      <c r="AV32" s="84"/>
      <c r="AW32" s="84"/>
      <c r="AX32" s="84"/>
      <c r="AY32" s="84"/>
      <c r="AZ32" s="84"/>
      <c r="BA32" s="84"/>
      <c r="BB32" s="84"/>
    </row>
    <row r="33" spans="1:54" x14ac:dyDescent="0.2">
      <c r="A33" s="69" t="s">
        <v>461</v>
      </c>
      <c r="B33" s="69" t="s">
        <v>442</v>
      </c>
      <c r="C33" s="70"/>
      <c r="D33" s="71"/>
      <c r="E33" s="72"/>
      <c r="F33" s="73"/>
      <c r="G33" s="70"/>
      <c r="H33" s="74"/>
      <c r="I33" s="75"/>
      <c r="J33" s="75"/>
      <c r="K33" s="36"/>
      <c r="L33" s="82"/>
      <c r="M33" s="82"/>
      <c r="N33" s="77"/>
      <c r="O33" s="84" t="s">
        <v>500</v>
      </c>
      <c r="P33" s="86">
        <v>44024.050925925927</v>
      </c>
      <c r="Q33" s="84" t="s">
        <v>750</v>
      </c>
      <c r="R33" s="84"/>
      <c r="S33" s="84"/>
      <c r="T33" s="84"/>
      <c r="U33" s="84"/>
      <c r="V33" s="87" t="str">
        <f>HYPERLINK("http://pbs.twimg.com/profile_images/1235239437447110656/t_0cPgjc_normal.jpg")</f>
        <v>http://pbs.twimg.com/profile_images/1235239437447110656/t_0cPgjc_normal.jpg</v>
      </c>
      <c r="W33" s="86">
        <v>44024.050925925927</v>
      </c>
      <c r="X33" s="90">
        <v>44024</v>
      </c>
      <c r="Y33" s="92" t="s">
        <v>1268</v>
      </c>
      <c r="Z33" s="87" t="str">
        <f>HYPERLINK("https://twitter.com/deplorqult45/status/1282120825076932608")</f>
        <v>https://twitter.com/deplorqult45/status/1282120825076932608</v>
      </c>
      <c r="AA33" s="84"/>
      <c r="AB33" s="84"/>
      <c r="AC33" s="92" t="s">
        <v>1691</v>
      </c>
      <c r="AD33" s="84"/>
      <c r="AE33" s="84" t="b">
        <v>0</v>
      </c>
      <c r="AF33" s="84">
        <v>0</v>
      </c>
      <c r="AG33" s="92" t="s">
        <v>1724</v>
      </c>
      <c r="AH33" s="84" t="b">
        <v>0</v>
      </c>
      <c r="AI33" s="84" t="s">
        <v>1751</v>
      </c>
      <c r="AJ33" s="84"/>
      <c r="AK33" s="92" t="s">
        <v>1724</v>
      </c>
      <c r="AL33" s="84" t="b">
        <v>0</v>
      </c>
      <c r="AM33" s="84">
        <v>3</v>
      </c>
      <c r="AN33" s="92" t="s">
        <v>1689</v>
      </c>
      <c r="AO33" s="84" t="s">
        <v>1763</v>
      </c>
      <c r="AP33" s="84" t="b">
        <v>0</v>
      </c>
      <c r="AQ33" s="92" t="s">
        <v>1689</v>
      </c>
      <c r="AR33" s="84" t="s">
        <v>179</v>
      </c>
      <c r="AS33" s="84">
        <v>0</v>
      </c>
      <c r="AT33" s="84">
        <v>0</v>
      </c>
      <c r="AU33" s="84"/>
      <c r="AV33" s="84"/>
      <c r="AW33" s="84"/>
      <c r="AX33" s="84"/>
      <c r="AY33" s="84"/>
      <c r="AZ33" s="84"/>
      <c r="BA33" s="84"/>
      <c r="BB33" s="84"/>
    </row>
    <row r="34" spans="1:54" x14ac:dyDescent="0.2">
      <c r="A34" s="69" t="s">
        <v>461</v>
      </c>
      <c r="B34" s="69" t="s">
        <v>462</v>
      </c>
      <c r="C34" s="70"/>
      <c r="D34" s="71"/>
      <c r="E34" s="72"/>
      <c r="F34" s="73"/>
      <c r="G34" s="70"/>
      <c r="H34" s="74"/>
      <c r="I34" s="75"/>
      <c r="J34" s="75"/>
      <c r="K34" s="36"/>
      <c r="L34" s="82"/>
      <c r="M34" s="82"/>
      <c r="N34" s="77"/>
      <c r="O34" s="84" t="s">
        <v>502</v>
      </c>
      <c r="P34" s="86">
        <v>44024.050925925927</v>
      </c>
      <c r="Q34" s="84" t="s">
        <v>750</v>
      </c>
      <c r="R34" s="84"/>
      <c r="S34" s="84"/>
      <c r="T34" s="84"/>
      <c r="U34" s="84"/>
      <c r="V34" s="87" t="str">
        <f>HYPERLINK("http://pbs.twimg.com/profile_images/1235239437447110656/t_0cPgjc_normal.jpg")</f>
        <v>http://pbs.twimg.com/profile_images/1235239437447110656/t_0cPgjc_normal.jpg</v>
      </c>
      <c r="W34" s="86">
        <v>44024.050925925927</v>
      </c>
      <c r="X34" s="90">
        <v>44024</v>
      </c>
      <c r="Y34" s="92" t="s">
        <v>1268</v>
      </c>
      <c r="Z34" s="87" t="str">
        <f>HYPERLINK("https://twitter.com/deplorqult45/status/1282120825076932608")</f>
        <v>https://twitter.com/deplorqult45/status/1282120825076932608</v>
      </c>
      <c r="AA34" s="84"/>
      <c r="AB34" s="84"/>
      <c r="AC34" s="92" t="s">
        <v>1691</v>
      </c>
      <c r="AD34" s="84"/>
      <c r="AE34" s="84" t="b">
        <v>0</v>
      </c>
      <c r="AF34" s="84">
        <v>0</v>
      </c>
      <c r="AG34" s="92" t="s">
        <v>1724</v>
      </c>
      <c r="AH34" s="84" t="b">
        <v>0</v>
      </c>
      <c r="AI34" s="84" t="s">
        <v>1751</v>
      </c>
      <c r="AJ34" s="84"/>
      <c r="AK34" s="92" t="s">
        <v>1724</v>
      </c>
      <c r="AL34" s="84" t="b">
        <v>0</v>
      </c>
      <c r="AM34" s="84">
        <v>3</v>
      </c>
      <c r="AN34" s="92" t="s">
        <v>1689</v>
      </c>
      <c r="AO34" s="84" t="s">
        <v>1763</v>
      </c>
      <c r="AP34" s="84" t="b">
        <v>0</v>
      </c>
      <c r="AQ34" s="92" t="s">
        <v>1689</v>
      </c>
      <c r="AR34" s="84" t="s">
        <v>179</v>
      </c>
      <c r="AS34" s="84">
        <v>0</v>
      </c>
      <c r="AT34" s="84">
        <v>0</v>
      </c>
      <c r="AU34" s="84"/>
      <c r="AV34" s="84"/>
      <c r="AW34" s="84"/>
      <c r="AX34" s="84"/>
      <c r="AY34" s="84"/>
      <c r="AZ34" s="84"/>
      <c r="BA34" s="84"/>
      <c r="BB34" s="84"/>
    </row>
    <row r="35" spans="1:54" x14ac:dyDescent="0.2">
      <c r="A35" s="69" t="s">
        <v>442</v>
      </c>
      <c r="B35" s="69" t="s">
        <v>493</v>
      </c>
      <c r="C35" s="70"/>
      <c r="D35" s="71"/>
      <c r="E35" s="72"/>
      <c r="F35" s="73"/>
      <c r="G35" s="70"/>
      <c r="H35" s="74"/>
      <c r="I35" s="75"/>
      <c r="J35" s="75"/>
      <c r="K35" s="36"/>
      <c r="L35" s="82"/>
      <c r="M35" s="82"/>
      <c r="N35" s="77"/>
      <c r="O35" s="84" t="s">
        <v>503</v>
      </c>
      <c r="P35" s="86">
        <v>44024.050219907411</v>
      </c>
      <c r="Q35" s="84" t="s">
        <v>743</v>
      </c>
      <c r="R35" s="84"/>
      <c r="S35" s="84"/>
      <c r="T35" s="84"/>
      <c r="U35" s="84"/>
      <c r="V35" s="87" t="str">
        <f t="shared" ref="V35:V50" si="0">HYPERLINK("http://pbs.twimg.com/profile_images/1275228658521669632/ddxuDAf2_normal.jpg")</f>
        <v>http://pbs.twimg.com/profile_images/1275228658521669632/ddxuDAf2_normal.jpg</v>
      </c>
      <c r="W35" s="86">
        <v>44024.050219907411</v>
      </c>
      <c r="X35" s="90">
        <v>44024</v>
      </c>
      <c r="Y35" s="92" t="s">
        <v>1242</v>
      </c>
      <c r="Z35" s="87" t="str">
        <f>HYPERLINK("https://twitter.com/amotherinusa/status/1282120570499301376")</f>
        <v>https://twitter.com/amotherinusa/status/1282120570499301376</v>
      </c>
      <c r="AA35" s="84"/>
      <c r="AB35" s="84"/>
      <c r="AC35" s="92" t="s">
        <v>1663</v>
      </c>
      <c r="AD35" s="84"/>
      <c r="AE35" s="84" t="b">
        <v>0</v>
      </c>
      <c r="AF35" s="84">
        <v>0</v>
      </c>
      <c r="AG35" s="92" t="s">
        <v>1724</v>
      </c>
      <c r="AH35" s="84" t="b">
        <v>0</v>
      </c>
      <c r="AI35" s="84" t="s">
        <v>1751</v>
      </c>
      <c r="AJ35" s="84"/>
      <c r="AK35" s="92" t="s">
        <v>1724</v>
      </c>
      <c r="AL35" s="84" t="b">
        <v>0</v>
      </c>
      <c r="AM35" s="84">
        <v>2</v>
      </c>
      <c r="AN35" s="92" t="s">
        <v>1662</v>
      </c>
      <c r="AO35" s="84" t="s">
        <v>1766</v>
      </c>
      <c r="AP35" s="84" t="b">
        <v>0</v>
      </c>
      <c r="AQ35" s="92" t="s">
        <v>1662</v>
      </c>
      <c r="AR35" s="84" t="s">
        <v>179</v>
      </c>
      <c r="AS35" s="84">
        <v>0</v>
      </c>
      <c r="AT35" s="84">
        <v>0</v>
      </c>
      <c r="AU35" s="84"/>
      <c r="AV35" s="84"/>
      <c r="AW35" s="84"/>
      <c r="AX35" s="84"/>
      <c r="AY35" s="84"/>
      <c r="AZ35" s="84"/>
      <c r="BA35" s="84"/>
      <c r="BB35" s="84"/>
    </row>
    <row r="36" spans="1:54" x14ac:dyDescent="0.2">
      <c r="A36" s="69" t="s">
        <v>442</v>
      </c>
      <c r="B36" s="69" t="s">
        <v>442</v>
      </c>
      <c r="C36" s="70"/>
      <c r="D36" s="71"/>
      <c r="E36" s="72"/>
      <c r="F36" s="73"/>
      <c r="G36" s="70"/>
      <c r="H36" s="74"/>
      <c r="I36" s="75"/>
      <c r="J36" s="75"/>
      <c r="K36" s="36"/>
      <c r="L36" s="82"/>
      <c r="M36" s="82"/>
      <c r="N36" s="77"/>
      <c r="O36" s="84" t="s">
        <v>500</v>
      </c>
      <c r="P36" s="86">
        <v>44024.050219907411</v>
      </c>
      <c r="Q36" s="84" t="s">
        <v>743</v>
      </c>
      <c r="R36" s="84"/>
      <c r="S36" s="84"/>
      <c r="T36" s="84"/>
      <c r="U36" s="84"/>
      <c r="V36" s="87" t="str">
        <f t="shared" si="0"/>
        <v>http://pbs.twimg.com/profile_images/1275228658521669632/ddxuDAf2_normal.jpg</v>
      </c>
      <c r="W36" s="86">
        <v>44024.050219907411</v>
      </c>
      <c r="X36" s="90">
        <v>44024</v>
      </c>
      <c r="Y36" s="92" t="s">
        <v>1242</v>
      </c>
      <c r="Z36" s="87" t="str">
        <f>HYPERLINK("https://twitter.com/amotherinusa/status/1282120570499301376")</f>
        <v>https://twitter.com/amotherinusa/status/1282120570499301376</v>
      </c>
      <c r="AA36" s="84"/>
      <c r="AB36" s="84"/>
      <c r="AC36" s="92" t="s">
        <v>1663</v>
      </c>
      <c r="AD36" s="84"/>
      <c r="AE36" s="84" t="b">
        <v>0</v>
      </c>
      <c r="AF36" s="84">
        <v>0</v>
      </c>
      <c r="AG36" s="92" t="s">
        <v>1724</v>
      </c>
      <c r="AH36" s="84" t="b">
        <v>0</v>
      </c>
      <c r="AI36" s="84" t="s">
        <v>1751</v>
      </c>
      <c r="AJ36" s="84"/>
      <c r="AK36" s="92" t="s">
        <v>1724</v>
      </c>
      <c r="AL36" s="84" t="b">
        <v>0</v>
      </c>
      <c r="AM36" s="84">
        <v>2</v>
      </c>
      <c r="AN36" s="92" t="s">
        <v>1662</v>
      </c>
      <c r="AO36" s="84" t="s">
        <v>1766</v>
      </c>
      <c r="AP36" s="84" t="b">
        <v>0</v>
      </c>
      <c r="AQ36" s="92" t="s">
        <v>1662</v>
      </c>
      <c r="AR36" s="84" t="s">
        <v>179</v>
      </c>
      <c r="AS36" s="84">
        <v>0</v>
      </c>
      <c r="AT36" s="84">
        <v>0</v>
      </c>
      <c r="AU36" s="84"/>
      <c r="AV36" s="84"/>
      <c r="AW36" s="84"/>
      <c r="AX36" s="84"/>
      <c r="AY36" s="84"/>
      <c r="AZ36" s="84"/>
      <c r="BA36" s="84"/>
      <c r="BB36" s="84"/>
    </row>
    <row r="37" spans="1:54" x14ac:dyDescent="0.2">
      <c r="A37" s="69" t="s">
        <v>442</v>
      </c>
      <c r="B37" s="69" t="s">
        <v>474</v>
      </c>
      <c r="C37" s="70"/>
      <c r="D37" s="71"/>
      <c r="E37" s="72"/>
      <c r="F37" s="73"/>
      <c r="G37" s="70"/>
      <c r="H37" s="74"/>
      <c r="I37" s="75"/>
      <c r="J37" s="75"/>
      <c r="K37" s="36"/>
      <c r="L37" s="82"/>
      <c r="M37" s="82"/>
      <c r="N37" s="77"/>
      <c r="O37" s="84" t="s">
        <v>502</v>
      </c>
      <c r="P37" s="86">
        <v>44024.050150462965</v>
      </c>
      <c r="Q37" s="84" t="s">
        <v>744</v>
      </c>
      <c r="R37" s="84"/>
      <c r="S37" s="84"/>
      <c r="T37" s="84"/>
      <c r="U37" s="84"/>
      <c r="V37" s="87" t="str">
        <f t="shared" si="0"/>
        <v>http://pbs.twimg.com/profile_images/1275228658521669632/ddxuDAf2_normal.jpg</v>
      </c>
      <c r="W37" s="86">
        <v>44024.050150462965</v>
      </c>
      <c r="X37" s="90">
        <v>44024</v>
      </c>
      <c r="Y37" s="92" t="s">
        <v>1245</v>
      </c>
      <c r="Z37" s="87" t="str">
        <f>HYPERLINK("https://twitter.com/amotherinusa/status/1282120546465935360")</f>
        <v>https://twitter.com/amotherinusa/status/1282120546465935360</v>
      </c>
      <c r="AA37" s="84"/>
      <c r="AB37" s="84"/>
      <c r="AC37" s="92" t="s">
        <v>1667</v>
      </c>
      <c r="AD37" s="84"/>
      <c r="AE37" s="84" t="b">
        <v>0</v>
      </c>
      <c r="AF37" s="84">
        <v>0</v>
      </c>
      <c r="AG37" s="92" t="s">
        <v>1724</v>
      </c>
      <c r="AH37" s="84" t="b">
        <v>0</v>
      </c>
      <c r="AI37" s="84" t="s">
        <v>1751</v>
      </c>
      <c r="AJ37" s="84"/>
      <c r="AK37" s="92" t="s">
        <v>1724</v>
      </c>
      <c r="AL37" s="84" t="b">
        <v>0</v>
      </c>
      <c r="AM37" s="84">
        <v>2</v>
      </c>
      <c r="AN37" s="92" t="s">
        <v>1666</v>
      </c>
      <c r="AO37" s="84" t="s">
        <v>1766</v>
      </c>
      <c r="AP37" s="84" t="b">
        <v>0</v>
      </c>
      <c r="AQ37" s="92" t="s">
        <v>1666</v>
      </c>
      <c r="AR37" s="84" t="s">
        <v>179</v>
      </c>
      <c r="AS37" s="84">
        <v>0</v>
      </c>
      <c r="AT37" s="84">
        <v>0</v>
      </c>
      <c r="AU37" s="84"/>
      <c r="AV37" s="84"/>
      <c r="AW37" s="84"/>
      <c r="AX37" s="84"/>
      <c r="AY37" s="84"/>
      <c r="AZ37" s="84"/>
      <c r="BA37" s="84"/>
      <c r="BB37" s="84"/>
    </row>
    <row r="38" spans="1:54" x14ac:dyDescent="0.2">
      <c r="A38" s="69" t="s">
        <v>442</v>
      </c>
      <c r="B38" s="69" t="s">
        <v>494</v>
      </c>
      <c r="C38" s="70"/>
      <c r="D38" s="71"/>
      <c r="E38" s="72"/>
      <c r="F38" s="73"/>
      <c r="G38" s="70"/>
      <c r="H38" s="74"/>
      <c r="I38" s="75"/>
      <c r="J38" s="75"/>
      <c r="K38" s="36"/>
      <c r="L38" s="82"/>
      <c r="M38" s="82"/>
      <c r="N38" s="77"/>
      <c r="O38" s="84" t="s">
        <v>502</v>
      </c>
      <c r="P38" s="86">
        <v>44024.050150462965</v>
      </c>
      <c r="Q38" s="84" t="s">
        <v>744</v>
      </c>
      <c r="R38" s="84"/>
      <c r="S38" s="84"/>
      <c r="T38" s="84"/>
      <c r="U38" s="84"/>
      <c r="V38" s="87" t="str">
        <f t="shared" si="0"/>
        <v>http://pbs.twimg.com/profile_images/1275228658521669632/ddxuDAf2_normal.jpg</v>
      </c>
      <c r="W38" s="86">
        <v>44024.050150462965</v>
      </c>
      <c r="X38" s="90">
        <v>44024</v>
      </c>
      <c r="Y38" s="92" t="s">
        <v>1245</v>
      </c>
      <c r="Z38" s="87" t="str">
        <f>HYPERLINK("https://twitter.com/amotherinusa/status/1282120546465935360")</f>
        <v>https://twitter.com/amotherinusa/status/1282120546465935360</v>
      </c>
      <c r="AA38" s="84"/>
      <c r="AB38" s="84"/>
      <c r="AC38" s="92" t="s">
        <v>1667</v>
      </c>
      <c r="AD38" s="84"/>
      <c r="AE38" s="84" t="b">
        <v>0</v>
      </c>
      <c r="AF38" s="84">
        <v>0</v>
      </c>
      <c r="AG38" s="92" t="s">
        <v>1724</v>
      </c>
      <c r="AH38" s="84" t="b">
        <v>0</v>
      </c>
      <c r="AI38" s="84" t="s">
        <v>1751</v>
      </c>
      <c r="AJ38" s="84"/>
      <c r="AK38" s="92" t="s">
        <v>1724</v>
      </c>
      <c r="AL38" s="84" t="b">
        <v>0</v>
      </c>
      <c r="AM38" s="84">
        <v>2</v>
      </c>
      <c r="AN38" s="92" t="s">
        <v>1666</v>
      </c>
      <c r="AO38" s="84" t="s">
        <v>1766</v>
      </c>
      <c r="AP38" s="84" t="b">
        <v>0</v>
      </c>
      <c r="AQ38" s="92" t="s">
        <v>1666</v>
      </c>
      <c r="AR38" s="84" t="s">
        <v>179</v>
      </c>
      <c r="AS38" s="84">
        <v>0</v>
      </c>
      <c r="AT38" s="84">
        <v>0</v>
      </c>
      <c r="AU38" s="84"/>
      <c r="AV38" s="84"/>
      <c r="AW38" s="84"/>
      <c r="AX38" s="84"/>
      <c r="AY38" s="84"/>
      <c r="AZ38" s="84"/>
      <c r="BA38" s="84"/>
      <c r="BB38" s="84"/>
    </row>
    <row r="39" spans="1:54" x14ac:dyDescent="0.2">
      <c r="A39" s="69" t="s">
        <v>442</v>
      </c>
      <c r="B39" s="69" t="s">
        <v>495</v>
      </c>
      <c r="C39" s="70"/>
      <c r="D39" s="71"/>
      <c r="E39" s="72"/>
      <c r="F39" s="73"/>
      <c r="G39" s="70"/>
      <c r="H39" s="74"/>
      <c r="I39" s="75"/>
      <c r="J39" s="75"/>
      <c r="K39" s="36"/>
      <c r="L39" s="82"/>
      <c r="M39" s="82"/>
      <c r="N39" s="77"/>
      <c r="O39" s="84" t="s">
        <v>502</v>
      </c>
      <c r="P39" s="86">
        <v>44024.050150462965</v>
      </c>
      <c r="Q39" s="84" t="s">
        <v>744</v>
      </c>
      <c r="R39" s="84"/>
      <c r="S39" s="84"/>
      <c r="T39" s="84"/>
      <c r="U39" s="84"/>
      <c r="V39" s="87" t="str">
        <f t="shared" si="0"/>
        <v>http://pbs.twimg.com/profile_images/1275228658521669632/ddxuDAf2_normal.jpg</v>
      </c>
      <c r="W39" s="86">
        <v>44024.050150462965</v>
      </c>
      <c r="X39" s="90">
        <v>44024</v>
      </c>
      <c r="Y39" s="92" t="s">
        <v>1245</v>
      </c>
      <c r="Z39" s="87" t="str">
        <f>HYPERLINK("https://twitter.com/amotherinusa/status/1282120546465935360")</f>
        <v>https://twitter.com/amotherinusa/status/1282120546465935360</v>
      </c>
      <c r="AA39" s="84"/>
      <c r="AB39" s="84"/>
      <c r="AC39" s="92" t="s">
        <v>1667</v>
      </c>
      <c r="AD39" s="84"/>
      <c r="AE39" s="84" t="b">
        <v>0</v>
      </c>
      <c r="AF39" s="84">
        <v>0</v>
      </c>
      <c r="AG39" s="92" t="s">
        <v>1724</v>
      </c>
      <c r="AH39" s="84" t="b">
        <v>0</v>
      </c>
      <c r="AI39" s="84" t="s">
        <v>1751</v>
      </c>
      <c r="AJ39" s="84"/>
      <c r="AK39" s="92" t="s">
        <v>1724</v>
      </c>
      <c r="AL39" s="84" t="b">
        <v>0</v>
      </c>
      <c r="AM39" s="84">
        <v>2</v>
      </c>
      <c r="AN39" s="92" t="s">
        <v>1666</v>
      </c>
      <c r="AO39" s="84" t="s">
        <v>1766</v>
      </c>
      <c r="AP39" s="84" t="b">
        <v>0</v>
      </c>
      <c r="AQ39" s="92" t="s">
        <v>1666</v>
      </c>
      <c r="AR39" s="84" t="s">
        <v>179</v>
      </c>
      <c r="AS39" s="84">
        <v>0</v>
      </c>
      <c r="AT39" s="84">
        <v>0</v>
      </c>
      <c r="AU39" s="84"/>
      <c r="AV39" s="84"/>
      <c r="AW39" s="84"/>
      <c r="AX39" s="84"/>
      <c r="AY39" s="84"/>
      <c r="AZ39" s="84"/>
      <c r="BA39" s="84"/>
      <c r="BB39" s="84"/>
    </row>
    <row r="40" spans="1:54" x14ac:dyDescent="0.2">
      <c r="A40" s="69" t="s">
        <v>442</v>
      </c>
      <c r="B40" s="69" t="s">
        <v>496</v>
      </c>
      <c r="C40" s="70"/>
      <c r="D40" s="71"/>
      <c r="E40" s="72"/>
      <c r="F40" s="73"/>
      <c r="G40" s="70"/>
      <c r="H40" s="74"/>
      <c r="I40" s="75"/>
      <c r="J40" s="75"/>
      <c r="K40" s="36"/>
      <c r="L40" s="82"/>
      <c r="M40" s="82"/>
      <c r="N40" s="77"/>
      <c r="O40" s="84" t="s">
        <v>503</v>
      </c>
      <c r="P40" s="86">
        <v>44024.050150462965</v>
      </c>
      <c r="Q40" s="84" t="s">
        <v>744</v>
      </c>
      <c r="R40" s="84"/>
      <c r="S40" s="84"/>
      <c r="T40" s="84"/>
      <c r="U40" s="84"/>
      <c r="V40" s="87" t="str">
        <f t="shared" si="0"/>
        <v>http://pbs.twimg.com/profile_images/1275228658521669632/ddxuDAf2_normal.jpg</v>
      </c>
      <c r="W40" s="86">
        <v>44024.050150462965</v>
      </c>
      <c r="X40" s="90">
        <v>44024</v>
      </c>
      <c r="Y40" s="92" t="s">
        <v>1245</v>
      </c>
      <c r="Z40" s="87" t="str">
        <f>HYPERLINK("https://twitter.com/amotherinusa/status/1282120546465935360")</f>
        <v>https://twitter.com/amotherinusa/status/1282120546465935360</v>
      </c>
      <c r="AA40" s="84"/>
      <c r="AB40" s="84"/>
      <c r="AC40" s="92" t="s">
        <v>1667</v>
      </c>
      <c r="AD40" s="84"/>
      <c r="AE40" s="84" t="b">
        <v>0</v>
      </c>
      <c r="AF40" s="84">
        <v>0</v>
      </c>
      <c r="AG40" s="92" t="s">
        <v>1724</v>
      </c>
      <c r="AH40" s="84" t="b">
        <v>0</v>
      </c>
      <c r="AI40" s="84" t="s">
        <v>1751</v>
      </c>
      <c r="AJ40" s="84"/>
      <c r="AK40" s="92" t="s">
        <v>1724</v>
      </c>
      <c r="AL40" s="84" t="b">
        <v>0</v>
      </c>
      <c r="AM40" s="84">
        <v>2</v>
      </c>
      <c r="AN40" s="92" t="s">
        <v>1666</v>
      </c>
      <c r="AO40" s="84" t="s">
        <v>1766</v>
      </c>
      <c r="AP40" s="84" t="b">
        <v>0</v>
      </c>
      <c r="AQ40" s="92" t="s">
        <v>1666</v>
      </c>
      <c r="AR40" s="84" t="s">
        <v>179</v>
      </c>
      <c r="AS40" s="84">
        <v>0</v>
      </c>
      <c r="AT40" s="84">
        <v>0</v>
      </c>
      <c r="AU40" s="84"/>
      <c r="AV40" s="84"/>
      <c r="AW40" s="84"/>
      <c r="AX40" s="84"/>
      <c r="AY40" s="84"/>
      <c r="AZ40" s="84"/>
      <c r="BA40" s="84"/>
      <c r="BB40" s="84"/>
    </row>
    <row r="41" spans="1:54" x14ac:dyDescent="0.2">
      <c r="A41" s="69" t="s">
        <v>442</v>
      </c>
      <c r="B41" s="69" t="s">
        <v>442</v>
      </c>
      <c r="C41" s="70"/>
      <c r="D41" s="71"/>
      <c r="E41" s="72"/>
      <c r="F41" s="73"/>
      <c r="G41" s="70"/>
      <c r="H41" s="74"/>
      <c r="I41" s="75"/>
      <c r="J41" s="75"/>
      <c r="K41" s="36"/>
      <c r="L41" s="82"/>
      <c r="M41" s="82"/>
      <c r="N41" s="77"/>
      <c r="O41" s="84" t="s">
        <v>500</v>
      </c>
      <c r="P41" s="86">
        <v>44024.050150462965</v>
      </c>
      <c r="Q41" s="84" t="s">
        <v>744</v>
      </c>
      <c r="R41" s="84"/>
      <c r="S41" s="84"/>
      <c r="T41" s="84"/>
      <c r="U41" s="84"/>
      <c r="V41" s="87" t="str">
        <f t="shared" si="0"/>
        <v>http://pbs.twimg.com/profile_images/1275228658521669632/ddxuDAf2_normal.jpg</v>
      </c>
      <c r="W41" s="86">
        <v>44024.050150462965</v>
      </c>
      <c r="X41" s="90">
        <v>44024</v>
      </c>
      <c r="Y41" s="92" t="s">
        <v>1245</v>
      </c>
      <c r="Z41" s="87" t="str">
        <f>HYPERLINK("https://twitter.com/amotherinusa/status/1282120546465935360")</f>
        <v>https://twitter.com/amotherinusa/status/1282120546465935360</v>
      </c>
      <c r="AA41" s="84"/>
      <c r="AB41" s="84"/>
      <c r="AC41" s="92" t="s">
        <v>1667</v>
      </c>
      <c r="AD41" s="84"/>
      <c r="AE41" s="84" t="b">
        <v>0</v>
      </c>
      <c r="AF41" s="84">
        <v>0</v>
      </c>
      <c r="AG41" s="92" t="s">
        <v>1724</v>
      </c>
      <c r="AH41" s="84" t="b">
        <v>0</v>
      </c>
      <c r="AI41" s="84" t="s">
        <v>1751</v>
      </c>
      <c r="AJ41" s="84"/>
      <c r="AK41" s="92" t="s">
        <v>1724</v>
      </c>
      <c r="AL41" s="84" t="b">
        <v>0</v>
      </c>
      <c r="AM41" s="84">
        <v>2</v>
      </c>
      <c r="AN41" s="92" t="s">
        <v>1666</v>
      </c>
      <c r="AO41" s="84" t="s">
        <v>1766</v>
      </c>
      <c r="AP41" s="84" t="b">
        <v>0</v>
      </c>
      <c r="AQ41" s="92" t="s">
        <v>1666</v>
      </c>
      <c r="AR41" s="84" t="s">
        <v>179</v>
      </c>
      <c r="AS41" s="84">
        <v>0</v>
      </c>
      <c r="AT41" s="84">
        <v>0</v>
      </c>
      <c r="AU41" s="84"/>
      <c r="AV41" s="84"/>
      <c r="AW41" s="84"/>
      <c r="AX41" s="84"/>
      <c r="AY41" s="84"/>
      <c r="AZ41" s="84"/>
      <c r="BA41" s="84"/>
      <c r="BB41" s="84"/>
    </row>
    <row r="42" spans="1:54" x14ac:dyDescent="0.2">
      <c r="A42" s="69" t="s">
        <v>442</v>
      </c>
      <c r="B42" s="69" t="s">
        <v>491</v>
      </c>
      <c r="C42" s="70"/>
      <c r="D42" s="71"/>
      <c r="E42" s="72"/>
      <c r="F42" s="73"/>
      <c r="G42" s="70"/>
      <c r="H42" s="74"/>
      <c r="I42" s="75"/>
      <c r="J42" s="75"/>
      <c r="K42" s="36"/>
      <c r="L42" s="82"/>
      <c r="M42" s="82"/>
      <c r="N42" s="77"/>
      <c r="O42" s="84" t="s">
        <v>502</v>
      </c>
      <c r="P42" s="86">
        <v>44024.050115740742</v>
      </c>
      <c r="Q42" s="84" t="s">
        <v>742</v>
      </c>
      <c r="R42" s="84"/>
      <c r="S42" s="84"/>
      <c r="T42" s="84"/>
      <c r="U42" s="84"/>
      <c r="V42" s="87" t="str">
        <f t="shared" si="0"/>
        <v>http://pbs.twimg.com/profile_images/1275228658521669632/ddxuDAf2_normal.jpg</v>
      </c>
      <c r="W42" s="86">
        <v>44024.050115740742</v>
      </c>
      <c r="X42" s="90">
        <v>44024</v>
      </c>
      <c r="Y42" s="92" t="s">
        <v>1240</v>
      </c>
      <c r="Z42" s="87" t="str">
        <f>HYPERLINK("https://twitter.com/amotherinusa/status/1282120533140664320")</f>
        <v>https://twitter.com/amotherinusa/status/1282120533140664320</v>
      </c>
      <c r="AA42" s="84"/>
      <c r="AB42" s="84"/>
      <c r="AC42" s="92" t="s">
        <v>1661</v>
      </c>
      <c r="AD42" s="84"/>
      <c r="AE42" s="84" t="b">
        <v>0</v>
      </c>
      <c r="AF42" s="84">
        <v>0</v>
      </c>
      <c r="AG42" s="92" t="s">
        <v>1724</v>
      </c>
      <c r="AH42" s="84" t="b">
        <v>0</v>
      </c>
      <c r="AI42" s="84" t="s">
        <v>1751</v>
      </c>
      <c r="AJ42" s="84"/>
      <c r="AK42" s="92" t="s">
        <v>1724</v>
      </c>
      <c r="AL42" s="84" t="b">
        <v>0</v>
      </c>
      <c r="AM42" s="84">
        <v>1</v>
      </c>
      <c r="AN42" s="92" t="s">
        <v>1660</v>
      </c>
      <c r="AO42" s="84" t="s">
        <v>1766</v>
      </c>
      <c r="AP42" s="84" t="b">
        <v>0</v>
      </c>
      <c r="AQ42" s="92" t="s">
        <v>1660</v>
      </c>
      <c r="AR42" s="84" t="s">
        <v>179</v>
      </c>
      <c r="AS42" s="84">
        <v>0</v>
      </c>
      <c r="AT42" s="84">
        <v>0</v>
      </c>
      <c r="AU42" s="84"/>
      <c r="AV42" s="84"/>
      <c r="AW42" s="84"/>
      <c r="AX42" s="84"/>
      <c r="AY42" s="84"/>
      <c r="AZ42" s="84"/>
      <c r="BA42" s="84"/>
      <c r="BB42" s="84"/>
    </row>
    <row r="43" spans="1:54" x14ac:dyDescent="0.2">
      <c r="A43" s="69" t="s">
        <v>442</v>
      </c>
      <c r="B43" s="69" t="s">
        <v>492</v>
      </c>
      <c r="C43" s="70"/>
      <c r="D43" s="71"/>
      <c r="E43" s="72"/>
      <c r="F43" s="73"/>
      <c r="G43" s="70"/>
      <c r="H43" s="74"/>
      <c r="I43" s="75"/>
      <c r="J43" s="75"/>
      <c r="K43" s="36"/>
      <c r="L43" s="82"/>
      <c r="M43" s="82"/>
      <c r="N43" s="77"/>
      <c r="O43" s="84" t="s">
        <v>503</v>
      </c>
      <c r="P43" s="86">
        <v>44024.050115740742</v>
      </c>
      <c r="Q43" s="84" t="s">
        <v>742</v>
      </c>
      <c r="R43" s="84"/>
      <c r="S43" s="84"/>
      <c r="T43" s="84"/>
      <c r="U43" s="84"/>
      <c r="V43" s="87" t="str">
        <f t="shared" si="0"/>
        <v>http://pbs.twimg.com/profile_images/1275228658521669632/ddxuDAf2_normal.jpg</v>
      </c>
      <c r="W43" s="86">
        <v>44024.050115740742</v>
      </c>
      <c r="X43" s="90">
        <v>44024</v>
      </c>
      <c r="Y43" s="92" t="s">
        <v>1240</v>
      </c>
      <c r="Z43" s="87" t="str">
        <f>HYPERLINK("https://twitter.com/amotherinusa/status/1282120533140664320")</f>
        <v>https://twitter.com/amotherinusa/status/1282120533140664320</v>
      </c>
      <c r="AA43" s="84"/>
      <c r="AB43" s="84"/>
      <c r="AC43" s="92" t="s">
        <v>1661</v>
      </c>
      <c r="AD43" s="84"/>
      <c r="AE43" s="84" t="b">
        <v>0</v>
      </c>
      <c r="AF43" s="84">
        <v>0</v>
      </c>
      <c r="AG43" s="92" t="s">
        <v>1724</v>
      </c>
      <c r="AH43" s="84" t="b">
        <v>0</v>
      </c>
      <c r="AI43" s="84" t="s">
        <v>1751</v>
      </c>
      <c r="AJ43" s="84"/>
      <c r="AK43" s="92" t="s">
        <v>1724</v>
      </c>
      <c r="AL43" s="84" t="b">
        <v>0</v>
      </c>
      <c r="AM43" s="84">
        <v>1</v>
      </c>
      <c r="AN43" s="92" t="s">
        <v>1660</v>
      </c>
      <c r="AO43" s="84" t="s">
        <v>1766</v>
      </c>
      <c r="AP43" s="84" t="b">
        <v>0</v>
      </c>
      <c r="AQ43" s="92" t="s">
        <v>1660</v>
      </c>
      <c r="AR43" s="84" t="s">
        <v>179</v>
      </c>
      <c r="AS43" s="84">
        <v>0</v>
      </c>
      <c r="AT43" s="84">
        <v>0</v>
      </c>
      <c r="AU43" s="84"/>
      <c r="AV43" s="84"/>
      <c r="AW43" s="84"/>
      <c r="AX43" s="84"/>
      <c r="AY43" s="84"/>
      <c r="AZ43" s="84"/>
      <c r="BA43" s="84"/>
      <c r="BB43" s="84"/>
    </row>
    <row r="44" spans="1:54" x14ac:dyDescent="0.2">
      <c r="A44" s="69" t="s">
        <v>442</v>
      </c>
      <c r="B44" s="69" t="s">
        <v>442</v>
      </c>
      <c r="C44" s="70"/>
      <c r="D44" s="71"/>
      <c r="E44" s="72"/>
      <c r="F44" s="73"/>
      <c r="G44" s="70"/>
      <c r="H44" s="74"/>
      <c r="I44" s="75"/>
      <c r="J44" s="75"/>
      <c r="K44" s="36"/>
      <c r="L44" s="82"/>
      <c r="M44" s="82"/>
      <c r="N44" s="77"/>
      <c r="O44" s="84" t="s">
        <v>500</v>
      </c>
      <c r="P44" s="86">
        <v>44024.050115740742</v>
      </c>
      <c r="Q44" s="84" t="s">
        <v>742</v>
      </c>
      <c r="R44" s="84"/>
      <c r="S44" s="84"/>
      <c r="T44" s="84"/>
      <c r="U44" s="84"/>
      <c r="V44" s="87" t="str">
        <f t="shared" si="0"/>
        <v>http://pbs.twimg.com/profile_images/1275228658521669632/ddxuDAf2_normal.jpg</v>
      </c>
      <c r="W44" s="86">
        <v>44024.050115740742</v>
      </c>
      <c r="X44" s="90">
        <v>44024</v>
      </c>
      <c r="Y44" s="92" t="s">
        <v>1240</v>
      </c>
      <c r="Z44" s="87" t="str">
        <f>HYPERLINK("https://twitter.com/amotherinusa/status/1282120533140664320")</f>
        <v>https://twitter.com/amotherinusa/status/1282120533140664320</v>
      </c>
      <c r="AA44" s="84"/>
      <c r="AB44" s="84"/>
      <c r="AC44" s="92" t="s">
        <v>1661</v>
      </c>
      <c r="AD44" s="84"/>
      <c r="AE44" s="84" t="b">
        <v>0</v>
      </c>
      <c r="AF44" s="84">
        <v>0</v>
      </c>
      <c r="AG44" s="92" t="s">
        <v>1724</v>
      </c>
      <c r="AH44" s="84" t="b">
        <v>0</v>
      </c>
      <c r="AI44" s="84" t="s">
        <v>1751</v>
      </c>
      <c r="AJ44" s="84"/>
      <c r="AK44" s="92" t="s">
        <v>1724</v>
      </c>
      <c r="AL44" s="84" t="b">
        <v>0</v>
      </c>
      <c r="AM44" s="84">
        <v>1</v>
      </c>
      <c r="AN44" s="92" t="s">
        <v>1660</v>
      </c>
      <c r="AO44" s="84" t="s">
        <v>1766</v>
      </c>
      <c r="AP44" s="84" t="b">
        <v>0</v>
      </c>
      <c r="AQ44" s="92" t="s">
        <v>1660</v>
      </c>
      <c r="AR44" s="84" t="s">
        <v>179</v>
      </c>
      <c r="AS44" s="84">
        <v>0</v>
      </c>
      <c r="AT44" s="84">
        <v>0</v>
      </c>
      <c r="AU44" s="84"/>
      <c r="AV44" s="84"/>
      <c r="AW44" s="84"/>
      <c r="AX44" s="84"/>
      <c r="AY44" s="84"/>
      <c r="AZ44" s="84"/>
      <c r="BA44" s="84"/>
      <c r="BB44" s="84"/>
    </row>
    <row r="45" spans="1:54" x14ac:dyDescent="0.2">
      <c r="A45" s="69" t="s">
        <v>442</v>
      </c>
      <c r="B45" s="69" t="s">
        <v>497</v>
      </c>
      <c r="C45" s="70"/>
      <c r="D45" s="71"/>
      <c r="E45" s="72"/>
      <c r="F45" s="73"/>
      <c r="G45" s="70"/>
      <c r="H45" s="74"/>
      <c r="I45" s="75"/>
      <c r="J45" s="75"/>
      <c r="K45" s="36"/>
      <c r="L45" s="82"/>
      <c r="M45" s="82"/>
      <c r="N45" s="77"/>
      <c r="O45" s="84" t="s">
        <v>502</v>
      </c>
      <c r="P45" s="86">
        <v>44024.050081018519</v>
      </c>
      <c r="Q45" s="84" t="s">
        <v>750</v>
      </c>
      <c r="R45" s="84"/>
      <c r="S45" s="84"/>
      <c r="T45" s="84"/>
      <c r="U45" s="84"/>
      <c r="V45" s="87" t="str">
        <f t="shared" si="0"/>
        <v>http://pbs.twimg.com/profile_images/1275228658521669632/ddxuDAf2_normal.jpg</v>
      </c>
      <c r="W45" s="86">
        <v>44024.050081018519</v>
      </c>
      <c r="X45" s="90">
        <v>44024</v>
      </c>
      <c r="Y45" s="92" t="s">
        <v>1267</v>
      </c>
      <c r="Z45" s="87" t="str">
        <f t="shared" ref="Z45:Z50" si="1">HYPERLINK("https://twitter.com/amotherinusa/status/1282120521446916096")</f>
        <v>https://twitter.com/amotherinusa/status/1282120521446916096</v>
      </c>
      <c r="AA45" s="84"/>
      <c r="AB45" s="84"/>
      <c r="AC45" s="92" t="s">
        <v>1690</v>
      </c>
      <c r="AD45" s="84"/>
      <c r="AE45" s="84" t="b">
        <v>0</v>
      </c>
      <c r="AF45" s="84">
        <v>0</v>
      </c>
      <c r="AG45" s="92" t="s">
        <v>1724</v>
      </c>
      <c r="AH45" s="84" t="b">
        <v>0</v>
      </c>
      <c r="AI45" s="84" t="s">
        <v>1751</v>
      </c>
      <c r="AJ45" s="84"/>
      <c r="AK45" s="92" t="s">
        <v>1724</v>
      </c>
      <c r="AL45" s="84" t="b">
        <v>0</v>
      </c>
      <c r="AM45" s="84">
        <v>3</v>
      </c>
      <c r="AN45" s="92" t="s">
        <v>1689</v>
      </c>
      <c r="AO45" s="84" t="s">
        <v>1766</v>
      </c>
      <c r="AP45" s="84" t="b">
        <v>0</v>
      </c>
      <c r="AQ45" s="92" t="s">
        <v>1689</v>
      </c>
      <c r="AR45" s="84" t="s">
        <v>179</v>
      </c>
      <c r="AS45" s="84">
        <v>0</v>
      </c>
      <c r="AT45" s="84">
        <v>0</v>
      </c>
      <c r="AU45" s="84"/>
      <c r="AV45" s="84"/>
      <c r="AW45" s="84"/>
      <c r="AX45" s="84"/>
      <c r="AY45" s="84"/>
      <c r="AZ45" s="84"/>
      <c r="BA45" s="84"/>
      <c r="BB45" s="84"/>
    </row>
    <row r="46" spans="1:54" x14ac:dyDescent="0.2">
      <c r="A46" s="69" t="s">
        <v>442</v>
      </c>
      <c r="B46" s="69" t="s">
        <v>498</v>
      </c>
      <c r="C46" s="70"/>
      <c r="D46" s="71"/>
      <c r="E46" s="72"/>
      <c r="F46" s="73"/>
      <c r="G46" s="70"/>
      <c r="H46" s="74"/>
      <c r="I46" s="75"/>
      <c r="J46" s="75"/>
      <c r="K46" s="36"/>
      <c r="L46" s="82"/>
      <c r="M46" s="82"/>
      <c r="N46" s="77"/>
      <c r="O46" s="84" t="s">
        <v>502</v>
      </c>
      <c r="P46" s="86">
        <v>44024.050081018519</v>
      </c>
      <c r="Q46" s="84" t="s">
        <v>750</v>
      </c>
      <c r="R46" s="84"/>
      <c r="S46" s="84"/>
      <c r="T46" s="84"/>
      <c r="U46" s="84"/>
      <c r="V46" s="87" t="str">
        <f t="shared" si="0"/>
        <v>http://pbs.twimg.com/profile_images/1275228658521669632/ddxuDAf2_normal.jpg</v>
      </c>
      <c r="W46" s="86">
        <v>44024.050081018519</v>
      </c>
      <c r="X46" s="90">
        <v>44024</v>
      </c>
      <c r="Y46" s="92" t="s">
        <v>1267</v>
      </c>
      <c r="Z46" s="87" t="str">
        <f t="shared" si="1"/>
        <v>https://twitter.com/amotherinusa/status/1282120521446916096</v>
      </c>
      <c r="AA46" s="84"/>
      <c r="AB46" s="84"/>
      <c r="AC46" s="92" t="s">
        <v>1690</v>
      </c>
      <c r="AD46" s="84"/>
      <c r="AE46" s="84" t="b">
        <v>0</v>
      </c>
      <c r="AF46" s="84">
        <v>0</v>
      </c>
      <c r="AG46" s="92" t="s">
        <v>1724</v>
      </c>
      <c r="AH46" s="84" t="b">
        <v>0</v>
      </c>
      <c r="AI46" s="84" t="s">
        <v>1751</v>
      </c>
      <c r="AJ46" s="84"/>
      <c r="AK46" s="92" t="s">
        <v>1724</v>
      </c>
      <c r="AL46" s="84" t="b">
        <v>0</v>
      </c>
      <c r="AM46" s="84">
        <v>3</v>
      </c>
      <c r="AN46" s="92" t="s">
        <v>1689</v>
      </c>
      <c r="AO46" s="84" t="s">
        <v>1766</v>
      </c>
      <c r="AP46" s="84" t="b">
        <v>0</v>
      </c>
      <c r="AQ46" s="92" t="s">
        <v>1689</v>
      </c>
      <c r="AR46" s="84" t="s">
        <v>179</v>
      </c>
      <c r="AS46" s="84">
        <v>0</v>
      </c>
      <c r="AT46" s="84">
        <v>0</v>
      </c>
      <c r="AU46" s="84"/>
      <c r="AV46" s="84"/>
      <c r="AW46" s="84"/>
      <c r="AX46" s="84"/>
      <c r="AY46" s="84"/>
      <c r="AZ46" s="84"/>
      <c r="BA46" s="84"/>
      <c r="BB46" s="84"/>
    </row>
    <row r="47" spans="1:54" x14ac:dyDescent="0.2">
      <c r="A47" s="69" t="s">
        <v>442</v>
      </c>
      <c r="B47" s="69" t="s">
        <v>499</v>
      </c>
      <c r="C47" s="70"/>
      <c r="D47" s="71"/>
      <c r="E47" s="72"/>
      <c r="F47" s="73"/>
      <c r="G47" s="70"/>
      <c r="H47" s="74"/>
      <c r="I47" s="75"/>
      <c r="J47" s="75"/>
      <c r="K47" s="36"/>
      <c r="L47" s="82"/>
      <c r="M47" s="82"/>
      <c r="N47" s="77"/>
      <c r="O47" s="84" t="s">
        <v>502</v>
      </c>
      <c r="P47" s="86">
        <v>44024.050081018519</v>
      </c>
      <c r="Q47" s="84" t="s">
        <v>750</v>
      </c>
      <c r="R47" s="84"/>
      <c r="S47" s="84"/>
      <c r="T47" s="84"/>
      <c r="U47" s="84"/>
      <c r="V47" s="87" t="str">
        <f t="shared" si="0"/>
        <v>http://pbs.twimg.com/profile_images/1275228658521669632/ddxuDAf2_normal.jpg</v>
      </c>
      <c r="W47" s="86">
        <v>44024.050081018519</v>
      </c>
      <c r="X47" s="90">
        <v>44024</v>
      </c>
      <c r="Y47" s="92" t="s">
        <v>1267</v>
      </c>
      <c r="Z47" s="87" t="str">
        <f t="shared" si="1"/>
        <v>https://twitter.com/amotherinusa/status/1282120521446916096</v>
      </c>
      <c r="AA47" s="84"/>
      <c r="AB47" s="84"/>
      <c r="AC47" s="92" t="s">
        <v>1690</v>
      </c>
      <c r="AD47" s="84"/>
      <c r="AE47" s="84" t="b">
        <v>0</v>
      </c>
      <c r="AF47" s="84">
        <v>0</v>
      </c>
      <c r="AG47" s="92" t="s">
        <v>1724</v>
      </c>
      <c r="AH47" s="84" t="b">
        <v>0</v>
      </c>
      <c r="AI47" s="84" t="s">
        <v>1751</v>
      </c>
      <c r="AJ47" s="84"/>
      <c r="AK47" s="92" t="s">
        <v>1724</v>
      </c>
      <c r="AL47" s="84" t="b">
        <v>0</v>
      </c>
      <c r="AM47" s="84">
        <v>3</v>
      </c>
      <c r="AN47" s="92" t="s">
        <v>1689</v>
      </c>
      <c r="AO47" s="84" t="s">
        <v>1766</v>
      </c>
      <c r="AP47" s="84" t="b">
        <v>0</v>
      </c>
      <c r="AQ47" s="92" t="s">
        <v>1689</v>
      </c>
      <c r="AR47" s="84" t="s">
        <v>179</v>
      </c>
      <c r="AS47" s="84">
        <v>0</v>
      </c>
      <c r="AT47" s="84">
        <v>0</v>
      </c>
      <c r="AU47" s="84"/>
      <c r="AV47" s="84"/>
      <c r="AW47" s="84"/>
      <c r="AX47" s="84"/>
      <c r="AY47" s="84"/>
      <c r="AZ47" s="84"/>
      <c r="BA47" s="84"/>
      <c r="BB47" s="84"/>
    </row>
    <row r="48" spans="1:54" x14ac:dyDescent="0.2">
      <c r="A48" s="69" t="s">
        <v>442</v>
      </c>
      <c r="B48" s="69" t="s">
        <v>462</v>
      </c>
      <c r="C48" s="70"/>
      <c r="D48" s="71"/>
      <c r="E48" s="72"/>
      <c r="F48" s="73"/>
      <c r="G48" s="70"/>
      <c r="H48" s="74"/>
      <c r="I48" s="75"/>
      <c r="J48" s="75"/>
      <c r="K48" s="36"/>
      <c r="L48" s="82"/>
      <c r="M48" s="82"/>
      <c r="N48" s="77"/>
      <c r="O48" s="84" t="s">
        <v>502</v>
      </c>
      <c r="P48" s="86">
        <v>44024.050081018519</v>
      </c>
      <c r="Q48" s="84" t="s">
        <v>750</v>
      </c>
      <c r="R48" s="84"/>
      <c r="S48" s="84"/>
      <c r="T48" s="84"/>
      <c r="U48" s="84"/>
      <c r="V48" s="87" t="str">
        <f t="shared" si="0"/>
        <v>http://pbs.twimg.com/profile_images/1275228658521669632/ddxuDAf2_normal.jpg</v>
      </c>
      <c r="W48" s="86">
        <v>44024.050081018519</v>
      </c>
      <c r="X48" s="90">
        <v>44024</v>
      </c>
      <c r="Y48" s="92" t="s">
        <v>1267</v>
      </c>
      <c r="Z48" s="87" t="str">
        <f t="shared" si="1"/>
        <v>https://twitter.com/amotherinusa/status/1282120521446916096</v>
      </c>
      <c r="AA48" s="84"/>
      <c r="AB48" s="84"/>
      <c r="AC48" s="92" t="s">
        <v>1690</v>
      </c>
      <c r="AD48" s="84"/>
      <c r="AE48" s="84" t="b">
        <v>0</v>
      </c>
      <c r="AF48" s="84">
        <v>0</v>
      </c>
      <c r="AG48" s="92" t="s">
        <v>1724</v>
      </c>
      <c r="AH48" s="84" t="b">
        <v>0</v>
      </c>
      <c r="AI48" s="84" t="s">
        <v>1751</v>
      </c>
      <c r="AJ48" s="84"/>
      <c r="AK48" s="92" t="s">
        <v>1724</v>
      </c>
      <c r="AL48" s="84" t="b">
        <v>0</v>
      </c>
      <c r="AM48" s="84">
        <v>3</v>
      </c>
      <c r="AN48" s="92" t="s">
        <v>1689</v>
      </c>
      <c r="AO48" s="84" t="s">
        <v>1766</v>
      </c>
      <c r="AP48" s="84" t="b">
        <v>0</v>
      </c>
      <c r="AQ48" s="92" t="s">
        <v>1689</v>
      </c>
      <c r="AR48" s="84" t="s">
        <v>179</v>
      </c>
      <c r="AS48" s="84">
        <v>0</v>
      </c>
      <c r="AT48" s="84">
        <v>0</v>
      </c>
      <c r="AU48" s="84"/>
      <c r="AV48" s="84"/>
      <c r="AW48" s="84"/>
      <c r="AX48" s="84"/>
      <c r="AY48" s="84"/>
      <c r="AZ48" s="84"/>
      <c r="BA48" s="84"/>
      <c r="BB48" s="84"/>
    </row>
    <row r="49" spans="1:54" x14ac:dyDescent="0.2">
      <c r="A49" s="69" t="s">
        <v>442</v>
      </c>
      <c r="B49" s="69" t="s">
        <v>442</v>
      </c>
      <c r="C49" s="70"/>
      <c r="D49" s="71"/>
      <c r="E49" s="72"/>
      <c r="F49" s="73"/>
      <c r="G49" s="70"/>
      <c r="H49" s="74"/>
      <c r="I49" s="75"/>
      <c r="J49" s="75"/>
      <c r="K49" s="36"/>
      <c r="L49" s="82"/>
      <c r="M49" s="82"/>
      <c r="N49" s="77"/>
      <c r="O49" s="84" t="s">
        <v>500</v>
      </c>
      <c r="P49" s="86">
        <v>44024.050081018519</v>
      </c>
      <c r="Q49" s="84" t="s">
        <v>750</v>
      </c>
      <c r="R49" s="84"/>
      <c r="S49" s="84"/>
      <c r="T49" s="84"/>
      <c r="U49" s="84"/>
      <c r="V49" s="87" t="str">
        <f t="shared" si="0"/>
        <v>http://pbs.twimg.com/profile_images/1275228658521669632/ddxuDAf2_normal.jpg</v>
      </c>
      <c r="W49" s="86">
        <v>44024.050081018519</v>
      </c>
      <c r="X49" s="90">
        <v>44024</v>
      </c>
      <c r="Y49" s="92" t="s">
        <v>1267</v>
      </c>
      <c r="Z49" s="87" t="str">
        <f t="shared" si="1"/>
        <v>https://twitter.com/amotherinusa/status/1282120521446916096</v>
      </c>
      <c r="AA49" s="84"/>
      <c r="AB49" s="84"/>
      <c r="AC49" s="92" t="s">
        <v>1690</v>
      </c>
      <c r="AD49" s="84"/>
      <c r="AE49" s="84" t="b">
        <v>0</v>
      </c>
      <c r="AF49" s="84">
        <v>0</v>
      </c>
      <c r="AG49" s="92" t="s">
        <v>1724</v>
      </c>
      <c r="AH49" s="84" t="b">
        <v>0</v>
      </c>
      <c r="AI49" s="84" t="s">
        <v>1751</v>
      </c>
      <c r="AJ49" s="84"/>
      <c r="AK49" s="92" t="s">
        <v>1724</v>
      </c>
      <c r="AL49" s="84" t="b">
        <v>0</v>
      </c>
      <c r="AM49" s="84">
        <v>3</v>
      </c>
      <c r="AN49" s="92" t="s">
        <v>1689</v>
      </c>
      <c r="AO49" s="84" t="s">
        <v>1766</v>
      </c>
      <c r="AP49" s="84" t="b">
        <v>0</v>
      </c>
      <c r="AQ49" s="92" t="s">
        <v>1689</v>
      </c>
      <c r="AR49" s="84" t="s">
        <v>179</v>
      </c>
      <c r="AS49" s="84">
        <v>0</v>
      </c>
      <c r="AT49" s="84">
        <v>0</v>
      </c>
      <c r="AU49" s="84"/>
      <c r="AV49" s="84"/>
      <c r="AW49" s="84"/>
      <c r="AX49" s="84"/>
      <c r="AY49" s="84"/>
      <c r="AZ49" s="84"/>
      <c r="BA49" s="84"/>
      <c r="BB49" s="84"/>
    </row>
    <row r="50" spans="1:54" x14ac:dyDescent="0.2">
      <c r="A50" s="69" t="s">
        <v>442</v>
      </c>
      <c r="B50" s="69" t="s">
        <v>461</v>
      </c>
      <c r="C50" s="70"/>
      <c r="D50" s="71"/>
      <c r="E50" s="72"/>
      <c r="F50" s="73"/>
      <c r="G50" s="70"/>
      <c r="H50" s="74"/>
      <c r="I50" s="75"/>
      <c r="J50" s="75"/>
      <c r="K50" s="36"/>
      <c r="L50" s="82"/>
      <c r="M50" s="82"/>
      <c r="N50" s="77"/>
      <c r="O50" s="84" t="s">
        <v>503</v>
      </c>
      <c r="P50" s="86">
        <v>44024.050081018519</v>
      </c>
      <c r="Q50" s="84" t="s">
        <v>750</v>
      </c>
      <c r="R50" s="84"/>
      <c r="S50" s="84"/>
      <c r="T50" s="84"/>
      <c r="U50" s="84"/>
      <c r="V50" s="87" t="str">
        <f t="shared" si="0"/>
        <v>http://pbs.twimg.com/profile_images/1275228658521669632/ddxuDAf2_normal.jpg</v>
      </c>
      <c r="W50" s="86">
        <v>44024.050081018519</v>
      </c>
      <c r="X50" s="90">
        <v>44024</v>
      </c>
      <c r="Y50" s="92" t="s">
        <v>1267</v>
      </c>
      <c r="Z50" s="87" t="str">
        <f t="shared" si="1"/>
        <v>https://twitter.com/amotherinusa/status/1282120521446916096</v>
      </c>
      <c r="AA50" s="84"/>
      <c r="AB50" s="84"/>
      <c r="AC50" s="92" t="s">
        <v>1690</v>
      </c>
      <c r="AD50" s="84"/>
      <c r="AE50" s="84" t="b">
        <v>0</v>
      </c>
      <c r="AF50" s="84">
        <v>0</v>
      </c>
      <c r="AG50" s="92" t="s">
        <v>1724</v>
      </c>
      <c r="AH50" s="84" t="b">
        <v>0</v>
      </c>
      <c r="AI50" s="84" t="s">
        <v>1751</v>
      </c>
      <c r="AJ50" s="84"/>
      <c r="AK50" s="92" t="s">
        <v>1724</v>
      </c>
      <c r="AL50" s="84" t="b">
        <v>0</v>
      </c>
      <c r="AM50" s="84">
        <v>3</v>
      </c>
      <c r="AN50" s="92" t="s">
        <v>1689</v>
      </c>
      <c r="AO50" s="84" t="s">
        <v>1766</v>
      </c>
      <c r="AP50" s="84" t="b">
        <v>0</v>
      </c>
      <c r="AQ50" s="92" t="s">
        <v>1689</v>
      </c>
      <c r="AR50" s="84" t="s">
        <v>179</v>
      </c>
      <c r="AS50" s="84">
        <v>0</v>
      </c>
      <c r="AT50" s="84">
        <v>0</v>
      </c>
      <c r="AU50" s="84"/>
      <c r="AV50" s="84"/>
      <c r="AW50" s="84"/>
      <c r="AX50" s="84"/>
      <c r="AY50" s="84"/>
      <c r="AZ50" s="84"/>
      <c r="BA50" s="84"/>
      <c r="BB50" s="84"/>
    </row>
    <row r="51" spans="1:54" x14ac:dyDescent="0.2">
      <c r="A51" s="69" t="s">
        <v>441</v>
      </c>
      <c r="B51" s="69" t="s">
        <v>443</v>
      </c>
      <c r="C51" s="70"/>
      <c r="D51" s="71"/>
      <c r="E51" s="72"/>
      <c r="F51" s="73"/>
      <c r="G51" s="70"/>
      <c r="H51" s="74"/>
      <c r="I51" s="75"/>
      <c r="J51" s="75"/>
      <c r="K51" s="36"/>
      <c r="L51" s="82"/>
      <c r="M51" s="82"/>
      <c r="N51" s="77"/>
      <c r="O51" s="84" t="s">
        <v>502</v>
      </c>
      <c r="P51" s="86">
        <v>44024.034212962964</v>
      </c>
      <c r="Q51" s="84" t="s">
        <v>722</v>
      </c>
      <c r="R51" s="84"/>
      <c r="S51" s="84"/>
      <c r="T51" s="84"/>
      <c r="U51" s="84"/>
      <c r="V51" s="87" t="str">
        <f>HYPERLINK("http://pbs.twimg.com/profile_images/1280395155636391936/CmSWPZ3s_normal.jpg")</f>
        <v>http://pbs.twimg.com/profile_images/1280395155636391936/CmSWPZ3s_normal.jpg</v>
      </c>
      <c r="W51" s="86">
        <v>44024.034212962964</v>
      </c>
      <c r="X51" s="90">
        <v>44024</v>
      </c>
      <c r="Y51" s="92" t="s">
        <v>1232</v>
      </c>
      <c r="Z51" s="87" t="str">
        <f>HYPERLINK("https://twitter.com/roxyspencer11/status/1282114771526004739")</f>
        <v>https://twitter.com/roxyspencer11/status/1282114771526004739</v>
      </c>
      <c r="AA51" s="84"/>
      <c r="AB51" s="84"/>
      <c r="AC51" s="92" t="s">
        <v>1653</v>
      </c>
      <c r="AD51" s="84"/>
      <c r="AE51" s="84" t="b">
        <v>0</v>
      </c>
      <c r="AF51" s="84">
        <v>0</v>
      </c>
      <c r="AG51" s="92" t="s">
        <v>1724</v>
      </c>
      <c r="AH51" s="84" t="b">
        <v>0</v>
      </c>
      <c r="AI51" s="84" t="s">
        <v>1751</v>
      </c>
      <c r="AJ51" s="84"/>
      <c r="AK51" s="92" t="s">
        <v>1724</v>
      </c>
      <c r="AL51" s="84" t="b">
        <v>0</v>
      </c>
      <c r="AM51" s="84">
        <v>3</v>
      </c>
      <c r="AN51" s="92" t="s">
        <v>1658</v>
      </c>
      <c r="AO51" s="84" t="s">
        <v>1766</v>
      </c>
      <c r="AP51" s="84" t="b">
        <v>0</v>
      </c>
      <c r="AQ51" s="92" t="s">
        <v>1658</v>
      </c>
      <c r="AR51" s="84" t="s">
        <v>179</v>
      </c>
      <c r="AS51" s="84">
        <v>0</v>
      </c>
      <c r="AT51" s="84">
        <v>0</v>
      </c>
      <c r="AU51" s="84"/>
      <c r="AV51" s="84"/>
      <c r="AW51" s="84"/>
      <c r="AX51" s="84"/>
      <c r="AY51" s="84"/>
      <c r="AZ51" s="84"/>
      <c r="BA51" s="84"/>
      <c r="BB51" s="84"/>
    </row>
    <row r="52" spans="1:54" x14ac:dyDescent="0.2">
      <c r="A52" s="69" t="s">
        <v>441</v>
      </c>
      <c r="B52" s="69" t="s">
        <v>442</v>
      </c>
      <c r="C52" s="70"/>
      <c r="D52" s="71"/>
      <c r="E52" s="72"/>
      <c r="F52" s="73"/>
      <c r="G52" s="70"/>
      <c r="H52" s="74"/>
      <c r="I52" s="75"/>
      <c r="J52" s="75"/>
      <c r="K52" s="36"/>
      <c r="L52" s="82"/>
      <c r="M52" s="82"/>
      <c r="N52" s="77"/>
      <c r="O52" s="84" t="s">
        <v>500</v>
      </c>
      <c r="P52" s="86">
        <v>44024.034212962964</v>
      </c>
      <c r="Q52" s="84" t="s">
        <v>722</v>
      </c>
      <c r="R52" s="84"/>
      <c r="S52" s="84"/>
      <c r="T52" s="84"/>
      <c r="U52" s="84"/>
      <c r="V52" s="87" t="str">
        <f>HYPERLINK("http://pbs.twimg.com/profile_images/1280395155636391936/CmSWPZ3s_normal.jpg")</f>
        <v>http://pbs.twimg.com/profile_images/1280395155636391936/CmSWPZ3s_normal.jpg</v>
      </c>
      <c r="W52" s="86">
        <v>44024.034212962964</v>
      </c>
      <c r="X52" s="90">
        <v>44024</v>
      </c>
      <c r="Y52" s="92" t="s">
        <v>1232</v>
      </c>
      <c r="Z52" s="87" t="str">
        <f>HYPERLINK("https://twitter.com/roxyspencer11/status/1282114771526004739")</f>
        <v>https://twitter.com/roxyspencer11/status/1282114771526004739</v>
      </c>
      <c r="AA52" s="84"/>
      <c r="AB52" s="84"/>
      <c r="AC52" s="92" t="s">
        <v>1653</v>
      </c>
      <c r="AD52" s="84"/>
      <c r="AE52" s="84" t="b">
        <v>0</v>
      </c>
      <c r="AF52" s="84">
        <v>0</v>
      </c>
      <c r="AG52" s="92" t="s">
        <v>1724</v>
      </c>
      <c r="AH52" s="84" t="b">
        <v>0</v>
      </c>
      <c r="AI52" s="84" t="s">
        <v>1751</v>
      </c>
      <c r="AJ52" s="84"/>
      <c r="AK52" s="92" t="s">
        <v>1724</v>
      </c>
      <c r="AL52" s="84" t="b">
        <v>0</v>
      </c>
      <c r="AM52" s="84">
        <v>3</v>
      </c>
      <c r="AN52" s="92" t="s">
        <v>1658</v>
      </c>
      <c r="AO52" s="84" t="s">
        <v>1766</v>
      </c>
      <c r="AP52" s="84" t="b">
        <v>0</v>
      </c>
      <c r="AQ52" s="92" t="s">
        <v>1658</v>
      </c>
      <c r="AR52" s="84" t="s">
        <v>179</v>
      </c>
      <c r="AS52" s="84">
        <v>0</v>
      </c>
      <c r="AT52" s="84">
        <v>0</v>
      </c>
      <c r="AU52" s="84"/>
      <c r="AV52" s="84"/>
      <c r="AW52" s="84"/>
      <c r="AX52" s="84"/>
      <c r="AY52" s="84"/>
      <c r="AZ52" s="84"/>
      <c r="BA52" s="84"/>
      <c r="BB52" s="84"/>
    </row>
    <row r="53" spans="1:54" x14ac:dyDescent="0.2">
      <c r="A53" s="69" t="s">
        <v>441</v>
      </c>
      <c r="B53" s="69" t="s">
        <v>485</v>
      </c>
      <c r="C53" s="70"/>
      <c r="D53" s="71"/>
      <c r="E53" s="72"/>
      <c r="F53" s="73"/>
      <c r="G53" s="70"/>
      <c r="H53" s="74"/>
      <c r="I53" s="75"/>
      <c r="J53" s="75"/>
      <c r="K53" s="36"/>
      <c r="L53" s="82"/>
      <c r="M53" s="82"/>
      <c r="N53" s="77"/>
      <c r="O53" s="84" t="s">
        <v>503</v>
      </c>
      <c r="P53" s="86">
        <v>44024.034212962964</v>
      </c>
      <c r="Q53" s="84" t="s">
        <v>722</v>
      </c>
      <c r="R53" s="84"/>
      <c r="S53" s="84"/>
      <c r="T53" s="84"/>
      <c r="U53" s="84"/>
      <c r="V53" s="87" t="str">
        <f>HYPERLINK("http://pbs.twimg.com/profile_images/1280395155636391936/CmSWPZ3s_normal.jpg")</f>
        <v>http://pbs.twimg.com/profile_images/1280395155636391936/CmSWPZ3s_normal.jpg</v>
      </c>
      <c r="W53" s="86">
        <v>44024.034212962964</v>
      </c>
      <c r="X53" s="90">
        <v>44024</v>
      </c>
      <c r="Y53" s="92" t="s">
        <v>1232</v>
      </c>
      <c r="Z53" s="87" t="str">
        <f>HYPERLINK("https://twitter.com/roxyspencer11/status/1282114771526004739")</f>
        <v>https://twitter.com/roxyspencer11/status/1282114771526004739</v>
      </c>
      <c r="AA53" s="84"/>
      <c r="AB53" s="84"/>
      <c r="AC53" s="92" t="s">
        <v>1653</v>
      </c>
      <c r="AD53" s="84"/>
      <c r="AE53" s="84" t="b">
        <v>0</v>
      </c>
      <c r="AF53" s="84">
        <v>0</v>
      </c>
      <c r="AG53" s="92" t="s">
        <v>1724</v>
      </c>
      <c r="AH53" s="84" t="b">
        <v>0</v>
      </c>
      <c r="AI53" s="84" t="s">
        <v>1751</v>
      </c>
      <c r="AJ53" s="84"/>
      <c r="AK53" s="92" t="s">
        <v>1724</v>
      </c>
      <c r="AL53" s="84" t="b">
        <v>0</v>
      </c>
      <c r="AM53" s="84">
        <v>3</v>
      </c>
      <c r="AN53" s="92" t="s">
        <v>1658</v>
      </c>
      <c r="AO53" s="84" t="s">
        <v>1766</v>
      </c>
      <c r="AP53" s="84" t="b">
        <v>0</v>
      </c>
      <c r="AQ53" s="92" t="s">
        <v>1658</v>
      </c>
      <c r="AR53" s="84" t="s">
        <v>179</v>
      </c>
      <c r="AS53" s="84">
        <v>0</v>
      </c>
      <c r="AT53" s="84">
        <v>0</v>
      </c>
      <c r="AU53" s="84"/>
      <c r="AV53" s="84"/>
      <c r="AW53" s="84"/>
      <c r="AX53" s="84"/>
      <c r="AY53" s="84"/>
      <c r="AZ53" s="84"/>
      <c r="BA53" s="84"/>
      <c r="BB53" s="84"/>
    </row>
    <row r="54" spans="1:54" x14ac:dyDescent="0.2">
      <c r="A54" s="69" t="s">
        <v>436</v>
      </c>
      <c r="B54" s="69" t="s">
        <v>436</v>
      </c>
      <c r="C54" s="70"/>
      <c r="D54" s="71"/>
      <c r="E54" s="72"/>
      <c r="F54" s="73"/>
      <c r="G54" s="70"/>
      <c r="H54" s="74"/>
      <c r="I54" s="75"/>
      <c r="J54" s="75"/>
      <c r="K54" s="36"/>
      <c r="L54" s="82"/>
      <c r="M54" s="82"/>
      <c r="N54" s="77"/>
      <c r="O54" s="84" t="s">
        <v>179</v>
      </c>
      <c r="P54" s="86">
        <v>44024.034108796295</v>
      </c>
      <c r="Q54" s="84" t="s">
        <v>738</v>
      </c>
      <c r="R54" s="84"/>
      <c r="S54" s="84"/>
      <c r="T54" s="84" t="s">
        <v>781</v>
      </c>
      <c r="U54" s="84"/>
      <c r="V54" s="87" t="str">
        <f>HYPERLINK("http://pbs.twimg.com/profile_images/1138281193714044929/gYfMYMEB_normal.jpg")</f>
        <v>http://pbs.twimg.com/profile_images/1138281193714044929/gYfMYMEB_normal.jpg</v>
      </c>
      <c r="W54" s="86">
        <v>44024.034108796295</v>
      </c>
      <c r="X54" s="90">
        <v>44024</v>
      </c>
      <c r="Y54" s="92" t="s">
        <v>1231</v>
      </c>
      <c r="Z54" s="87" t="str">
        <f>HYPERLINK("https://twitter.com/waiwai5321/status/1282114733005393921")</f>
        <v>https://twitter.com/waiwai5321/status/1282114733005393921</v>
      </c>
      <c r="AA54" s="84"/>
      <c r="AB54" s="84"/>
      <c r="AC54" s="92" t="s">
        <v>1652</v>
      </c>
      <c r="AD54" s="84"/>
      <c r="AE54" s="84" t="b">
        <v>0</v>
      </c>
      <c r="AF54" s="84">
        <v>0</v>
      </c>
      <c r="AG54" s="92" t="s">
        <v>1724</v>
      </c>
      <c r="AH54" s="84" t="b">
        <v>0</v>
      </c>
      <c r="AI54" s="84" t="s">
        <v>1750</v>
      </c>
      <c r="AJ54" s="84"/>
      <c r="AK54" s="92" t="s">
        <v>1724</v>
      </c>
      <c r="AL54" s="84" t="b">
        <v>0</v>
      </c>
      <c r="AM54" s="84">
        <v>0</v>
      </c>
      <c r="AN54" s="92" t="s">
        <v>1724</v>
      </c>
      <c r="AO54" s="84" t="s">
        <v>1763</v>
      </c>
      <c r="AP54" s="84" t="b">
        <v>0</v>
      </c>
      <c r="AQ54" s="92" t="s">
        <v>1652</v>
      </c>
      <c r="AR54" s="84" t="s">
        <v>179</v>
      </c>
      <c r="AS54" s="84">
        <v>0</v>
      </c>
      <c r="AT54" s="84">
        <v>0</v>
      </c>
      <c r="AU54" s="84"/>
      <c r="AV54" s="84"/>
      <c r="AW54" s="84"/>
      <c r="AX54" s="84"/>
      <c r="AY54" s="84"/>
      <c r="AZ54" s="84"/>
      <c r="BA54" s="84"/>
      <c r="BB54" s="84"/>
    </row>
    <row r="55" spans="1:54" x14ac:dyDescent="0.2">
      <c r="A55" s="69" t="s">
        <v>434</v>
      </c>
      <c r="B55" s="69" t="s">
        <v>443</v>
      </c>
      <c r="C55" s="70"/>
      <c r="D55" s="71"/>
      <c r="E55" s="72"/>
      <c r="F55" s="73"/>
      <c r="G55" s="70"/>
      <c r="H55" s="74"/>
      <c r="I55" s="75"/>
      <c r="J55" s="75"/>
      <c r="K55" s="36"/>
      <c r="L55" s="82"/>
      <c r="M55" s="82"/>
      <c r="N55" s="77"/>
      <c r="O55" s="84" t="s">
        <v>502</v>
      </c>
      <c r="P55" s="86">
        <v>44024.032719907409</v>
      </c>
      <c r="Q55" s="84" t="s">
        <v>722</v>
      </c>
      <c r="R55" s="84"/>
      <c r="S55" s="84"/>
      <c r="T55" s="84"/>
      <c r="U55" s="84"/>
      <c r="V55" s="87" t="str">
        <f>HYPERLINK("http://pbs.twimg.com/profile_images/1272061399246782464/c0Lk3stV_normal.jpg")</f>
        <v>http://pbs.twimg.com/profile_images/1272061399246782464/c0Lk3stV_normal.jpg</v>
      </c>
      <c r="W55" s="86">
        <v>44024.032719907409</v>
      </c>
      <c r="X55" s="90">
        <v>44024</v>
      </c>
      <c r="Y55" s="92" t="s">
        <v>1208</v>
      </c>
      <c r="Z55" s="87" t="str">
        <f>HYPERLINK("https://twitter.com/milob122/status/1282114228896378883")</f>
        <v>https://twitter.com/milob122/status/1282114228896378883</v>
      </c>
      <c r="AA55" s="84"/>
      <c r="AB55" s="84"/>
      <c r="AC55" s="92" t="s">
        <v>1629</v>
      </c>
      <c r="AD55" s="84"/>
      <c r="AE55" s="84" t="b">
        <v>0</v>
      </c>
      <c r="AF55" s="84">
        <v>0</v>
      </c>
      <c r="AG55" s="92" t="s">
        <v>1724</v>
      </c>
      <c r="AH55" s="84" t="b">
        <v>0</v>
      </c>
      <c r="AI55" s="84" t="s">
        <v>1751</v>
      </c>
      <c r="AJ55" s="84"/>
      <c r="AK55" s="92" t="s">
        <v>1724</v>
      </c>
      <c r="AL55" s="84" t="b">
        <v>0</v>
      </c>
      <c r="AM55" s="84">
        <v>3</v>
      </c>
      <c r="AN55" s="92" t="s">
        <v>1658</v>
      </c>
      <c r="AO55" s="84" t="s">
        <v>1768</v>
      </c>
      <c r="AP55" s="84" t="b">
        <v>0</v>
      </c>
      <c r="AQ55" s="92" t="s">
        <v>1658</v>
      </c>
      <c r="AR55" s="84" t="s">
        <v>179</v>
      </c>
      <c r="AS55" s="84">
        <v>0</v>
      </c>
      <c r="AT55" s="84">
        <v>0</v>
      </c>
      <c r="AU55" s="84"/>
      <c r="AV55" s="84"/>
      <c r="AW55" s="84"/>
      <c r="AX55" s="84"/>
      <c r="AY55" s="84"/>
      <c r="AZ55" s="84"/>
      <c r="BA55" s="84"/>
      <c r="BB55" s="84"/>
    </row>
    <row r="56" spans="1:54" x14ac:dyDescent="0.2">
      <c r="A56" s="69" t="s">
        <v>434</v>
      </c>
      <c r="B56" s="69" t="s">
        <v>442</v>
      </c>
      <c r="C56" s="70"/>
      <c r="D56" s="71"/>
      <c r="E56" s="72"/>
      <c r="F56" s="73"/>
      <c r="G56" s="70"/>
      <c r="H56" s="74"/>
      <c r="I56" s="75"/>
      <c r="J56" s="75"/>
      <c r="K56" s="36"/>
      <c r="L56" s="82"/>
      <c r="M56" s="82"/>
      <c r="N56" s="77"/>
      <c r="O56" s="84" t="s">
        <v>500</v>
      </c>
      <c r="P56" s="86">
        <v>44024.032719907409</v>
      </c>
      <c r="Q56" s="84" t="s">
        <v>722</v>
      </c>
      <c r="R56" s="84"/>
      <c r="S56" s="84"/>
      <c r="T56" s="84"/>
      <c r="U56" s="84"/>
      <c r="V56" s="87" t="str">
        <f>HYPERLINK("http://pbs.twimg.com/profile_images/1272061399246782464/c0Lk3stV_normal.jpg")</f>
        <v>http://pbs.twimg.com/profile_images/1272061399246782464/c0Lk3stV_normal.jpg</v>
      </c>
      <c r="W56" s="86">
        <v>44024.032719907409</v>
      </c>
      <c r="X56" s="90">
        <v>44024</v>
      </c>
      <c r="Y56" s="92" t="s">
        <v>1208</v>
      </c>
      <c r="Z56" s="87" t="str">
        <f>HYPERLINK("https://twitter.com/milob122/status/1282114228896378883")</f>
        <v>https://twitter.com/milob122/status/1282114228896378883</v>
      </c>
      <c r="AA56" s="84"/>
      <c r="AB56" s="84"/>
      <c r="AC56" s="92" t="s">
        <v>1629</v>
      </c>
      <c r="AD56" s="84"/>
      <c r="AE56" s="84" t="b">
        <v>0</v>
      </c>
      <c r="AF56" s="84">
        <v>0</v>
      </c>
      <c r="AG56" s="92" t="s">
        <v>1724</v>
      </c>
      <c r="AH56" s="84" t="b">
        <v>0</v>
      </c>
      <c r="AI56" s="84" t="s">
        <v>1751</v>
      </c>
      <c r="AJ56" s="84"/>
      <c r="AK56" s="92" t="s">
        <v>1724</v>
      </c>
      <c r="AL56" s="84" t="b">
        <v>0</v>
      </c>
      <c r="AM56" s="84">
        <v>3</v>
      </c>
      <c r="AN56" s="92" t="s">
        <v>1658</v>
      </c>
      <c r="AO56" s="84" t="s">
        <v>1768</v>
      </c>
      <c r="AP56" s="84" t="b">
        <v>0</v>
      </c>
      <c r="AQ56" s="92" t="s">
        <v>1658</v>
      </c>
      <c r="AR56" s="84" t="s">
        <v>179</v>
      </c>
      <c r="AS56" s="84">
        <v>0</v>
      </c>
      <c r="AT56" s="84">
        <v>0</v>
      </c>
      <c r="AU56" s="84"/>
      <c r="AV56" s="84"/>
      <c r="AW56" s="84"/>
      <c r="AX56" s="84"/>
      <c r="AY56" s="84"/>
      <c r="AZ56" s="84"/>
      <c r="BA56" s="84"/>
      <c r="BB56" s="84"/>
    </row>
    <row r="57" spans="1:54" x14ac:dyDescent="0.2">
      <c r="A57" s="69" t="s">
        <v>434</v>
      </c>
      <c r="B57" s="69" t="s">
        <v>485</v>
      </c>
      <c r="C57" s="70"/>
      <c r="D57" s="71"/>
      <c r="E57" s="72"/>
      <c r="F57" s="73"/>
      <c r="G57" s="70"/>
      <c r="H57" s="74"/>
      <c r="I57" s="75"/>
      <c r="J57" s="75"/>
      <c r="K57" s="36"/>
      <c r="L57" s="82"/>
      <c r="M57" s="82"/>
      <c r="N57" s="77"/>
      <c r="O57" s="84" t="s">
        <v>503</v>
      </c>
      <c r="P57" s="86">
        <v>44024.032719907409</v>
      </c>
      <c r="Q57" s="84" t="s">
        <v>722</v>
      </c>
      <c r="R57" s="84"/>
      <c r="S57" s="84"/>
      <c r="T57" s="84"/>
      <c r="U57" s="84"/>
      <c r="V57" s="87" t="str">
        <f>HYPERLINK("http://pbs.twimg.com/profile_images/1272061399246782464/c0Lk3stV_normal.jpg")</f>
        <v>http://pbs.twimg.com/profile_images/1272061399246782464/c0Lk3stV_normal.jpg</v>
      </c>
      <c r="W57" s="86">
        <v>44024.032719907409</v>
      </c>
      <c r="X57" s="90">
        <v>44024</v>
      </c>
      <c r="Y57" s="92" t="s">
        <v>1208</v>
      </c>
      <c r="Z57" s="87" t="str">
        <f>HYPERLINK("https://twitter.com/milob122/status/1282114228896378883")</f>
        <v>https://twitter.com/milob122/status/1282114228896378883</v>
      </c>
      <c r="AA57" s="84"/>
      <c r="AB57" s="84"/>
      <c r="AC57" s="92" t="s">
        <v>1629</v>
      </c>
      <c r="AD57" s="84"/>
      <c r="AE57" s="84" t="b">
        <v>0</v>
      </c>
      <c r="AF57" s="84">
        <v>0</v>
      </c>
      <c r="AG57" s="92" t="s">
        <v>1724</v>
      </c>
      <c r="AH57" s="84" t="b">
        <v>0</v>
      </c>
      <c r="AI57" s="84" t="s">
        <v>1751</v>
      </c>
      <c r="AJ57" s="84"/>
      <c r="AK57" s="92" t="s">
        <v>1724</v>
      </c>
      <c r="AL57" s="84" t="b">
        <v>0</v>
      </c>
      <c r="AM57" s="84">
        <v>3</v>
      </c>
      <c r="AN57" s="92" t="s">
        <v>1658</v>
      </c>
      <c r="AO57" s="84" t="s">
        <v>1768</v>
      </c>
      <c r="AP57" s="84" t="b">
        <v>0</v>
      </c>
      <c r="AQ57" s="92" t="s">
        <v>1658</v>
      </c>
      <c r="AR57" s="84" t="s">
        <v>179</v>
      </c>
      <c r="AS57" s="84">
        <v>0</v>
      </c>
      <c r="AT57" s="84">
        <v>0</v>
      </c>
      <c r="AU57" s="84"/>
      <c r="AV57" s="84"/>
      <c r="AW57" s="84"/>
      <c r="AX57" s="84"/>
      <c r="AY57" s="84"/>
      <c r="AZ57" s="84"/>
      <c r="BA57" s="84"/>
      <c r="BB57" s="84"/>
    </row>
    <row r="58" spans="1:54" x14ac:dyDescent="0.2">
      <c r="A58" s="69" t="s">
        <v>442</v>
      </c>
      <c r="B58" s="69" t="s">
        <v>493</v>
      </c>
      <c r="C58" s="70"/>
      <c r="D58" s="71"/>
      <c r="E58" s="72"/>
      <c r="F58" s="73"/>
      <c r="G58" s="70"/>
      <c r="H58" s="74"/>
      <c r="I58" s="75"/>
      <c r="J58" s="75"/>
      <c r="K58" s="36"/>
      <c r="L58" s="82"/>
      <c r="M58" s="82"/>
      <c r="N58" s="77"/>
      <c r="O58" s="84" t="s">
        <v>503</v>
      </c>
      <c r="P58" s="86">
        <v>44024.032361111109</v>
      </c>
      <c r="Q58" s="84" t="s">
        <v>743</v>
      </c>
      <c r="R58" s="87" t="str">
        <f t="shared" ref="R58:R71" si="2">HYPERLINK("https://www.youtube.com/watch?v=MHmAZK9TOMk&amp;feature=youtu.be")</f>
        <v>https://www.youtube.com/watch?v=MHmAZK9TOMk&amp;feature=youtu.be</v>
      </c>
      <c r="S58" s="84" t="s">
        <v>757</v>
      </c>
      <c r="T58" s="84" t="s">
        <v>856</v>
      </c>
      <c r="U58" s="84"/>
      <c r="V58" s="87" t="str">
        <f t="shared" ref="V58:V71" si="3">HYPERLINK("http://pbs.twimg.com/profile_images/1275228658521669632/ddxuDAf2_normal.jpg")</f>
        <v>http://pbs.twimg.com/profile_images/1275228658521669632/ddxuDAf2_normal.jpg</v>
      </c>
      <c r="W58" s="86">
        <v>44024.032361111109</v>
      </c>
      <c r="X58" s="90">
        <v>44024</v>
      </c>
      <c r="Y58" s="92" t="s">
        <v>1241</v>
      </c>
      <c r="Z58" s="87" t="str">
        <f>HYPERLINK("https://twitter.com/amotherinusa/status/1282114097559920640")</f>
        <v>https://twitter.com/amotherinusa/status/1282114097559920640</v>
      </c>
      <c r="AA58" s="84"/>
      <c r="AB58" s="84"/>
      <c r="AC58" s="92" t="s">
        <v>1662</v>
      </c>
      <c r="AD58" s="92" t="s">
        <v>1721</v>
      </c>
      <c r="AE58" s="84" t="b">
        <v>0</v>
      </c>
      <c r="AF58" s="84">
        <v>2</v>
      </c>
      <c r="AG58" s="92" t="s">
        <v>1746</v>
      </c>
      <c r="AH58" s="84" t="b">
        <v>0</v>
      </c>
      <c r="AI58" s="84" t="s">
        <v>1751</v>
      </c>
      <c r="AJ58" s="84"/>
      <c r="AK58" s="92" t="s">
        <v>1724</v>
      </c>
      <c r="AL58" s="84" t="b">
        <v>0</v>
      </c>
      <c r="AM58" s="84">
        <v>2</v>
      </c>
      <c r="AN58" s="92" t="s">
        <v>1724</v>
      </c>
      <c r="AO58" s="84" t="s">
        <v>1766</v>
      </c>
      <c r="AP58" s="84" t="b">
        <v>0</v>
      </c>
      <c r="AQ58" s="92" t="s">
        <v>1721</v>
      </c>
      <c r="AR58" s="84" t="s">
        <v>179</v>
      </c>
      <c r="AS58" s="84">
        <v>0</v>
      </c>
      <c r="AT58" s="84">
        <v>0</v>
      </c>
      <c r="AU58" s="84"/>
      <c r="AV58" s="84"/>
      <c r="AW58" s="84"/>
      <c r="AX58" s="84"/>
      <c r="AY58" s="84"/>
      <c r="AZ58" s="84"/>
      <c r="BA58" s="84"/>
      <c r="BB58" s="84"/>
    </row>
    <row r="59" spans="1:54" x14ac:dyDescent="0.2">
      <c r="A59" s="69" t="s">
        <v>442</v>
      </c>
      <c r="B59" s="69" t="s">
        <v>474</v>
      </c>
      <c r="C59" s="70"/>
      <c r="D59" s="71"/>
      <c r="E59" s="72"/>
      <c r="F59" s="73"/>
      <c r="G59" s="70"/>
      <c r="H59" s="74"/>
      <c r="I59" s="75"/>
      <c r="J59" s="75"/>
      <c r="K59" s="36"/>
      <c r="L59" s="82"/>
      <c r="M59" s="82"/>
      <c r="N59" s="77"/>
      <c r="O59" s="84" t="s">
        <v>501</v>
      </c>
      <c r="P59" s="86">
        <v>44024.032060185185</v>
      </c>
      <c r="Q59" s="84" t="s">
        <v>744</v>
      </c>
      <c r="R59" s="87" t="str">
        <f t="shared" si="2"/>
        <v>https://www.youtube.com/watch?v=MHmAZK9TOMk&amp;feature=youtu.be</v>
      </c>
      <c r="S59" s="84" t="s">
        <v>757</v>
      </c>
      <c r="T59" s="84" t="s">
        <v>856</v>
      </c>
      <c r="U59" s="84"/>
      <c r="V59" s="87" t="str">
        <f t="shared" si="3"/>
        <v>http://pbs.twimg.com/profile_images/1275228658521669632/ddxuDAf2_normal.jpg</v>
      </c>
      <c r="W59" s="86">
        <v>44024.032060185185</v>
      </c>
      <c r="X59" s="90">
        <v>44024</v>
      </c>
      <c r="Y59" s="92" t="s">
        <v>864</v>
      </c>
      <c r="Z59" s="87" t="str">
        <f>HYPERLINK("https://twitter.com/amotherinusa/status/1282113990810693632")</f>
        <v>https://twitter.com/amotherinusa/status/1282113990810693632</v>
      </c>
      <c r="AA59" s="84"/>
      <c r="AB59" s="84"/>
      <c r="AC59" s="92" t="s">
        <v>1666</v>
      </c>
      <c r="AD59" s="92" t="s">
        <v>1722</v>
      </c>
      <c r="AE59" s="84" t="b">
        <v>0</v>
      </c>
      <c r="AF59" s="84">
        <v>2</v>
      </c>
      <c r="AG59" s="92" t="s">
        <v>1747</v>
      </c>
      <c r="AH59" s="84" t="b">
        <v>0</v>
      </c>
      <c r="AI59" s="84" t="s">
        <v>1751</v>
      </c>
      <c r="AJ59" s="84"/>
      <c r="AK59" s="92" t="s">
        <v>1724</v>
      </c>
      <c r="AL59" s="84" t="b">
        <v>0</v>
      </c>
      <c r="AM59" s="84">
        <v>2</v>
      </c>
      <c r="AN59" s="92" t="s">
        <v>1724</v>
      </c>
      <c r="AO59" s="84" t="s">
        <v>1766</v>
      </c>
      <c r="AP59" s="84" t="b">
        <v>0</v>
      </c>
      <c r="AQ59" s="92" t="s">
        <v>1722</v>
      </c>
      <c r="AR59" s="84" t="s">
        <v>179</v>
      </c>
      <c r="AS59" s="84">
        <v>0</v>
      </c>
      <c r="AT59" s="84">
        <v>0</v>
      </c>
      <c r="AU59" s="84"/>
      <c r="AV59" s="84"/>
      <c r="AW59" s="84"/>
      <c r="AX59" s="84"/>
      <c r="AY59" s="84"/>
      <c r="AZ59" s="84"/>
      <c r="BA59" s="84"/>
      <c r="BB59" s="84"/>
    </row>
    <row r="60" spans="1:54" x14ac:dyDescent="0.2">
      <c r="A60" s="69" t="s">
        <v>442</v>
      </c>
      <c r="B60" s="69" t="s">
        <v>494</v>
      </c>
      <c r="C60" s="70"/>
      <c r="D60" s="71"/>
      <c r="E60" s="72"/>
      <c r="F60" s="73"/>
      <c r="G60" s="70"/>
      <c r="H60" s="74"/>
      <c r="I60" s="75"/>
      <c r="J60" s="75"/>
      <c r="K60" s="36"/>
      <c r="L60" s="82"/>
      <c r="M60" s="82"/>
      <c r="N60" s="77"/>
      <c r="O60" s="84" t="s">
        <v>501</v>
      </c>
      <c r="P60" s="86">
        <v>44024.032060185185</v>
      </c>
      <c r="Q60" s="84" t="s">
        <v>744</v>
      </c>
      <c r="R60" s="87" t="str">
        <f t="shared" si="2"/>
        <v>https://www.youtube.com/watch?v=MHmAZK9TOMk&amp;feature=youtu.be</v>
      </c>
      <c r="S60" s="84" t="s">
        <v>757</v>
      </c>
      <c r="T60" s="84" t="s">
        <v>856</v>
      </c>
      <c r="U60" s="84"/>
      <c r="V60" s="87" t="str">
        <f t="shared" si="3"/>
        <v>http://pbs.twimg.com/profile_images/1275228658521669632/ddxuDAf2_normal.jpg</v>
      </c>
      <c r="W60" s="86">
        <v>44024.032060185185</v>
      </c>
      <c r="X60" s="90">
        <v>44024</v>
      </c>
      <c r="Y60" s="92" t="s">
        <v>864</v>
      </c>
      <c r="Z60" s="87" t="str">
        <f>HYPERLINK("https://twitter.com/amotherinusa/status/1282113990810693632")</f>
        <v>https://twitter.com/amotherinusa/status/1282113990810693632</v>
      </c>
      <c r="AA60" s="84"/>
      <c r="AB60" s="84"/>
      <c r="AC60" s="92" t="s">
        <v>1666</v>
      </c>
      <c r="AD60" s="92" t="s">
        <v>1722</v>
      </c>
      <c r="AE60" s="84" t="b">
        <v>0</v>
      </c>
      <c r="AF60" s="84">
        <v>2</v>
      </c>
      <c r="AG60" s="92" t="s">
        <v>1747</v>
      </c>
      <c r="AH60" s="84" t="b">
        <v>0</v>
      </c>
      <c r="AI60" s="84" t="s">
        <v>1751</v>
      </c>
      <c r="AJ60" s="84"/>
      <c r="AK60" s="92" t="s">
        <v>1724</v>
      </c>
      <c r="AL60" s="84" t="b">
        <v>0</v>
      </c>
      <c r="AM60" s="84">
        <v>2</v>
      </c>
      <c r="AN60" s="92" t="s">
        <v>1724</v>
      </c>
      <c r="AO60" s="84" t="s">
        <v>1766</v>
      </c>
      <c r="AP60" s="84" t="b">
        <v>0</v>
      </c>
      <c r="AQ60" s="92" t="s">
        <v>1722</v>
      </c>
      <c r="AR60" s="84" t="s">
        <v>179</v>
      </c>
      <c r="AS60" s="84">
        <v>0</v>
      </c>
      <c r="AT60" s="84">
        <v>0</v>
      </c>
      <c r="AU60" s="84"/>
      <c r="AV60" s="84"/>
      <c r="AW60" s="84"/>
      <c r="AX60" s="84"/>
      <c r="AY60" s="84"/>
      <c r="AZ60" s="84"/>
      <c r="BA60" s="84"/>
      <c r="BB60" s="84"/>
    </row>
    <row r="61" spans="1:54" x14ac:dyDescent="0.2">
      <c r="A61" s="69" t="s">
        <v>442</v>
      </c>
      <c r="B61" s="69" t="s">
        <v>495</v>
      </c>
      <c r="C61" s="70"/>
      <c r="D61" s="71"/>
      <c r="E61" s="72"/>
      <c r="F61" s="73"/>
      <c r="G61" s="70"/>
      <c r="H61" s="74"/>
      <c r="I61" s="75"/>
      <c r="J61" s="75"/>
      <c r="K61" s="36"/>
      <c r="L61" s="82"/>
      <c r="M61" s="82"/>
      <c r="N61" s="77"/>
      <c r="O61" s="84" t="s">
        <v>501</v>
      </c>
      <c r="P61" s="86">
        <v>44024.032060185185</v>
      </c>
      <c r="Q61" s="84" t="s">
        <v>744</v>
      </c>
      <c r="R61" s="87" t="str">
        <f t="shared" si="2"/>
        <v>https://www.youtube.com/watch?v=MHmAZK9TOMk&amp;feature=youtu.be</v>
      </c>
      <c r="S61" s="84" t="s">
        <v>757</v>
      </c>
      <c r="T61" s="84" t="s">
        <v>856</v>
      </c>
      <c r="U61" s="84"/>
      <c r="V61" s="87" t="str">
        <f t="shared" si="3"/>
        <v>http://pbs.twimg.com/profile_images/1275228658521669632/ddxuDAf2_normal.jpg</v>
      </c>
      <c r="W61" s="86">
        <v>44024.032060185185</v>
      </c>
      <c r="X61" s="90">
        <v>44024</v>
      </c>
      <c r="Y61" s="92" t="s">
        <v>864</v>
      </c>
      <c r="Z61" s="87" t="str">
        <f>HYPERLINK("https://twitter.com/amotherinusa/status/1282113990810693632")</f>
        <v>https://twitter.com/amotherinusa/status/1282113990810693632</v>
      </c>
      <c r="AA61" s="84"/>
      <c r="AB61" s="84"/>
      <c r="AC61" s="92" t="s">
        <v>1666</v>
      </c>
      <c r="AD61" s="92" t="s">
        <v>1722</v>
      </c>
      <c r="AE61" s="84" t="b">
        <v>0</v>
      </c>
      <c r="AF61" s="84">
        <v>2</v>
      </c>
      <c r="AG61" s="92" t="s">
        <v>1747</v>
      </c>
      <c r="AH61" s="84" t="b">
        <v>0</v>
      </c>
      <c r="AI61" s="84" t="s">
        <v>1751</v>
      </c>
      <c r="AJ61" s="84"/>
      <c r="AK61" s="92" t="s">
        <v>1724</v>
      </c>
      <c r="AL61" s="84" t="b">
        <v>0</v>
      </c>
      <c r="AM61" s="84">
        <v>2</v>
      </c>
      <c r="AN61" s="92" t="s">
        <v>1724</v>
      </c>
      <c r="AO61" s="84" t="s">
        <v>1766</v>
      </c>
      <c r="AP61" s="84" t="b">
        <v>0</v>
      </c>
      <c r="AQ61" s="92" t="s">
        <v>1722</v>
      </c>
      <c r="AR61" s="84" t="s">
        <v>179</v>
      </c>
      <c r="AS61" s="84">
        <v>0</v>
      </c>
      <c r="AT61" s="84">
        <v>0</v>
      </c>
      <c r="AU61" s="84"/>
      <c r="AV61" s="84"/>
      <c r="AW61" s="84"/>
      <c r="AX61" s="84"/>
      <c r="AY61" s="84"/>
      <c r="AZ61" s="84"/>
      <c r="BA61" s="84"/>
      <c r="BB61" s="84"/>
    </row>
    <row r="62" spans="1:54" x14ac:dyDescent="0.2">
      <c r="A62" s="69" t="s">
        <v>442</v>
      </c>
      <c r="B62" s="69" t="s">
        <v>496</v>
      </c>
      <c r="C62" s="70"/>
      <c r="D62" s="71"/>
      <c r="E62" s="72"/>
      <c r="F62" s="73"/>
      <c r="G62" s="70"/>
      <c r="H62" s="74"/>
      <c r="I62" s="75"/>
      <c r="J62" s="75"/>
      <c r="K62" s="36"/>
      <c r="L62" s="82"/>
      <c r="M62" s="82"/>
      <c r="N62" s="77"/>
      <c r="O62" s="84" t="s">
        <v>503</v>
      </c>
      <c r="P62" s="86">
        <v>44024.032060185185</v>
      </c>
      <c r="Q62" s="84" t="s">
        <v>744</v>
      </c>
      <c r="R62" s="87" t="str">
        <f t="shared" si="2"/>
        <v>https://www.youtube.com/watch?v=MHmAZK9TOMk&amp;feature=youtu.be</v>
      </c>
      <c r="S62" s="84" t="s">
        <v>757</v>
      </c>
      <c r="T62" s="84" t="s">
        <v>856</v>
      </c>
      <c r="U62" s="84"/>
      <c r="V62" s="87" t="str">
        <f t="shared" si="3"/>
        <v>http://pbs.twimg.com/profile_images/1275228658521669632/ddxuDAf2_normal.jpg</v>
      </c>
      <c r="W62" s="86">
        <v>44024.032060185185</v>
      </c>
      <c r="X62" s="90">
        <v>44024</v>
      </c>
      <c r="Y62" s="92" t="s">
        <v>864</v>
      </c>
      <c r="Z62" s="87" t="str">
        <f>HYPERLINK("https://twitter.com/amotherinusa/status/1282113990810693632")</f>
        <v>https://twitter.com/amotherinusa/status/1282113990810693632</v>
      </c>
      <c r="AA62" s="84"/>
      <c r="AB62" s="84"/>
      <c r="AC62" s="92" t="s">
        <v>1666</v>
      </c>
      <c r="AD62" s="92" t="s">
        <v>1722</v>
      </c>
      <c r="AE62" s="84" t="b">
        <v>0</v>
      </c>
      <c r="AF62" s="84">
        <v>2</v>
      </c>
      <c r="AG62" s="92" t="s">
        <v>1747</v>
      </c>
      <c r="AH62" s="84" t="b">
        <v>0</v>
      </c>
      <c r="AI62" s="84" t="s">
        <v>1751</v>
      </c>
      <c r="AJ62" s="84"/>
      <c r="AK62" s="92" t="s">
        <v>1724</v>
      </c>
      <c r="AL62" s="84" t="b">
        <v>0</v>
      </c>
      <c r="AM62" s="84">
        <v>2</v>
      </c>
      <c r="AN62" s="92" t="s">
        <v>1724</v>
      </c>
      <c r="AO62" s="84" t="s">
        <v>1766</v>
      </c>
      <c r="AP62" s="84" t="b">
        <v>0</v>
      </c>
      <c r="AQ62" s="92" t="s">
        <v>1722</v>
      </c>
      <c r="AR62" s="84" t="s">
        <v>179</v>
      </c>
      <c r="AS62" s="84">
        <v>0</v>
      </c>
      <c r="AT62" s="84">
        <v>0</v>
      </c>
      <c r="AU62" s="84"/>
      <c r="AV62" s="84"/>
      <c r="AW62" s="84"/>
      <c r="AX62" s="84"/>
      <c r="AY62" s="84"/>
      <c r="AZ62" s="84"/>
      <c r="BA62" s="84"/>
      <c r="BB62" s="84"/>
    </row>
    <row r="63" spans="1:54" x14ac:dyDescent="0.2">
      <c r="A63" s="69" t="s">
        <v>442</v>
      </c>
      <c r="B63" s="69" t="s">
        <v>491</v>
      </c>
      <c r="C63" s="70"/>
      <c r="D63" s="71"/>
      <c r="E63" s="72"/>
      <c r="F63" s="73"/>
      <c r="G63" s="70"/>
      <c r="H63" s="74"/>
      <c r="I63" s="75"/>
      <c r="J63" s="75"/>
      <c r="K63" s="36"/>
      <c r="L63" s="82"/>
      <c r="M63" s="82"/>
      <c r="N63" s="77"/>
      <c r="O63" s="84" t="s">
        <v>501</v>
      </c>
      <c r="P63" s="86">
        <v>44024.03193287037</v>
      </c>
      <c r="Q63" s="84" t="s">
        <v>742</v>
      </c>
      <c r="R63" s="87" t="str">
        <f t="shared" si="2"/>
        <v>https://www.youtube.com/watch?v=MHmAZK9TOMk&amp;feature=youtu.be</v>
      </c>
      <c r="S63" s="84" t="s">
        <v>757</v>
      </c>
      <c r="T63" s="84" t="s">
        <v>856</v>
      </c>
      <c r="U63" s="84"/>
      <c r="V63" s="87" t="str">
        <f t="shared" si="3"/>
        <v>http://pbs.twimg.com/profile_images/1275228658521669632/ddxuDAf2_normal.jpg</v>
      </c>
      <c r="W63" s="86">
        <v>44024.03193287037</v>
      </c>
      <c r="X63" s="90">
        <v>44024</v>
      </c>
      <c r="Y63" s="92" t="s">
        <v>1239</v>
      </c>
      <c r="Z63" s="87" t="str">
        <f>HYPERLINK("https://twitter.com/amotherinusa/status/1282113943310266368")</f>
        <v>https://twitter.com/amotherinusa/status/1282113943310266368</v>
      </c>
      <c r="AA63" s="84"/>
      <c r="AB63" s="84"/>
      <c r="AC63" s="92" t="s">
        <v>1660</v>
      </c>
      <c r="AD63" s="92" t="s">
        <v>1720</v>
      </c>
      <c r="AE63" s="84" t="b">
        <v>0</v>
      </c>
      <c r="AF63" s="84">
        <v>1</v>
      </c>
      <c r="AG63" s="92" t="s">
        <v>1745</v>
      </c>
      <c r="AH63" s="84" t="b">
        <v>0</v>
      </c>
      <c r="AI63" s="84" t="s">
        <v>1751</v>
      </c>
      <c r="AJ63" s="84"/>
      <c r="AK63" s="92" t="s">
        <v>1724</v>
      </c>
      <c r="AL63" s="84" t="b">
        <v>0</v>
      </c>
      <c r="AM63" s="84">
        <v>1</v>
      </c>
      <c r="AN63" s="92" t="s">
        <v>1724</v>
      </c>
      <c r="AO63" s="84" t="s">
        <v>1766</v>
      </c>
      <c r="AP63" s="84" t="b">
        <v>0</v>
      </c>
      <c r="AQ63" s="92" t="s">
        <v>1720</v>
      </c>
      <c r="AR63" s="84" t="s">
        <v>179</v>
      </c>
      <c r="AS63" s="84">
        <v>0</v>
      </c>
      <c r="AT63" s="84">
        <v>0</v>
      </c>
      <c r="AU63" s="84"/>
      <c r="AV63" s="84"/>
      <c r="AW63" s="84"/>
      <c r="AX63" s="84"/>
      <c r="AY63" s="84"/>
      <c r="AZ63" s="84"/>
      <c r="BA63" s="84"/>
      <c r="BB63" s="84"/>
    </row>
    <row r="64" spans="1:54" x14ac:dyDescent="0.2">
      <c r="A64" s="69" t="s">
        <v>442</v>
      </c>
      <c r="B64" s="69" t="s">
        <v>492</v>
      </c>
      <c r="C64" s="70"/>
      <c r="D64" s="71"/>
      <c r="E64" s="72"/>
      <c r="F64" s="73"/>
      <c r="G64" s="70"/>
      <c r="H64" s="74"/>
      <c r="I64" s="75"/>
      <c r="J64" s="75"/>
      <c r="K64" s="36"/>
      <c r="L64" s="82"/>
      <c r="M64" s="82"/>
      <c r="N64" s="77"/>
      <c r="O64" s="84" t="s">
        <v>503</v>
      </c>
      <c r="P64" s="86">
        <v>44024.03193287037</v>
      </c>
      <c r="Q64" s="84" t="s">
        <v>742</v>
      </c>
      <c r="R64" s="87" t="str">
        <f t="shared" si="2"/>
        <v>https://www.youtube.com/watch?v=MHmAZK9TOMk&amp;feature=youtu.be</v>
      </c>
      <c r="S64" s="84" t="s">
        <v>757</v>
      </c>
      <c r="T64" s="84" t="s">
        <v>856</v>
      </c>
      <c r="U64" s="84"/>
      <c r="V64" s="87" t="str">
        <f t="shared" si="3"/>
        <v>http://pbs.twimg.com/profile_images/1275228658521669632/ddxuDAf2_normal.jpg</v>
      </c>
      <c r="W64" s="86">
        <v>44024.03193287037</v>
      </c>
      <c r="X64" s="90">
        <v>44024</v>
      </c>
      <c r="Y64" s="92" t="s">
        <v>1239</v>
      </c>
      <c r="Z64" s="87" t="str">
        <f>HYPERLINK("https://twitter.com/amotherinusa/status/1282113943310266368")</f>
        <v>https://twitter.com/amotherinusa/status/1282113943310266368</v>
      </c>
      <c r="AA64" s="84"/>
      <c r="AB64" s="84"/>
      <c r="AC64" s="92" t="s">
        <v>1660</v>
      </c>
      <c r="AD64" s="92" t="s">
        <v>1720</v>
      </c>
      <c r="AE64" s="84" t="b">
        <v>0</v>
      </c>
      <c r="AF64" s="84">
        <v>1</v>
      </c>
      <c r="AG64" s="92" t="s">
        <v>1745</v>
      </c>
      <c r="AH64" s="84" t="b">
        <v>0</v>
      </c>
      <c r="AI64" s="84" t="s">
        <v>1751</v>
      </c>
      <c r="AJ64" s="84"/>
      <c r="AK64" s="92" t="s">
        <v>1724</v>
      </c>
      <c r="AL64" s="84" t="b">
        <v>0</v>
      </c>
      <c r="AM64" s="84">
        <v>1</v>
      </c>
      <c r="AN64" s="92" t="s">
        <v>1724</v>
      </c>
      <c r="AO64" s="84" t="s">
        <v>1766</v>
      </c>
      <c r="AP64" s="84" t="b">
        <v>0</v>
      </c>
      <c r="AQ64" s="92" t="s">
        <v>1720</v>
      </c>
      <c r="AR64" s="84" t="s">
        <v>179</v>
      </c>
      <c r="AS64" s="84">
        <v>0</v>
      </c>
      <c r="AT64" s="84">
        <v>0</v>
      </c>
      <c r="AU64" s="84"/>
      <c r="AV64" s="84"/>
      <c r="AW64" s="84"/>
      <c r="AX64" s="84"/>
      <c r="AY64" s="84"/>
      <c r="AZ64" s="84"/>
      <c r="BA64" s="84"/>
      <c r="BB64" s="84"/>
    </row>
    <row r="65" spans="1:54" x14ac:dyDescent="0.2">
      <c r="A65" s="69" t="s">
        <v>442</v>
      </c>
      <c r="B65" s="69" t="s">
        <v>497</v>
      </c>
      <c r="C65" s="70"/>
      <c r="D65" s="71"/>
      <c r="E65" s="72"/>
      <c r="F65" s="73"/>
      <c r="G65" s="70"/>
      <c r="H65" s="74"/>
      <c r="I65" s="75"/>
      <c r="J65" s="75"/>
      <c r="K65" s="36"/>
      <c r="L65" s="82"/>
      <c r="M65" s="82"/>
      <c r="N65" s="77"/>
      <c r="O65" s="84" t="s">
        <v>501</v>
      </c>
      <c r="P65" s="86">
        <v>44024.031481481485</v>
      </c>
      <c r="Q65" s="84" t="s">
        <v>750</v>
      </c>
      <c r="R65" s="87" t="str">
        <f t="shared" si="2"/>
        <v>https://www.youtube.com/watch?v=MHmAZK9TOMk&amp;feature=youtu.be</v>
      </c>
      <c r="S65" s="84" t="s">
        <v>757</v>
      </c>
      <c r="T65" s="84" t="s">
        <v>856</v>
      </c>
      <c r="U65" s="84"/>
      <c r="V65" s="87" t="str">
        <f t="shared" si="3"/>
        <v>http://pbs.twimg.com/profile_images/1275228658521669632/ddxuDAf2_normal.jpg</v>
      </c>
      <c r="W65" s="86">
        <v>44024.031481481485</v>
      </c>
      <c r="X65" s="90">
        <v>44024</v>
      </c>
      <c r="Y65" s="92" t="s">
        <v>1266</v>
      </c>
      <c r="Z65" s="87" t="str">
        <f>HYPERLINK("https://twitter.com/amotherinusa/status/1282113781452075009")</f>
        <v>https://twitter.com/amotherinusa/status/1282113781452075009</v>
      </c>
      <c r="AA65" s="84"/>
      <c r="AB65" s="84"/>
      <c r="AC65" s="92" t="s">
        <v>1689</v>
      </c>
      <c r="AD65" s="92" t="s">
        <v>1723</v>
      </c>
      <c r="AE65" s="84" t="b">
        <v>0</v>
      </c>
      <c r="AF65" s="84">
        <v>3</v>
      </c>
      <c r="AG65" s="92" t="s">
        <v>1748</v>
      </c>
      <c r="AH65" s="84" t="b">
        <v>0</v>
      </c>
      <c r="AI65" s="84" t="s">
        <v>1751</v>
      </c>
      <c r="AJ65" s="84"/>
      <c r="AK65" s="92" t="s">
        <v>1724</v>
      </c>
      <c r="AL65" s="84" t="b">
        <v>0</v>
      </c>
      <c r="AM65" s="84">
        <v>3</v>
      </c>
      <c r="AN65" s="92" t="s">
        <v>1724</v>
      </c>
      <c r="AO65" s="84" t="s">
        <v>1766</v>
      </c>
      <c r="AP65" s="84" t="b">
        <v>0</v>
      </c>
      <c r="AQ65" s="92" t="s">
        <v>1723</v>
      </c>
      <c r="AR65" s="84" t="s">
        <v>179</v>
      </c>
      <c r="AS65" s="84">
        <v>0</v>
      </c>
      <c r="AT65" s="84">
        <v>0</v>
      </c>
      <c r="AU65" s="84"/>
      <c r="AV65" s="84"/>
      <c r="AW65" s="84"/>
      <c r="AX65" s="84"/>
      <c r="AY65" s="84"/>
      <c r="AZ65" s="84"/>
      <c r="BA65" s="84"/>
      <c r="BB65" s="84"/>
    </row>
    <row r="66" spans="1:54" x14ac:dyDescent="0.2">
      <c r="A66" s="69" t="s">
        <v>442</v>
      </c>
      <c r="B66" s="69" t="s">
        <v>498</v>
      </c>
      <c r="C66" s="70"/>
      <c r="D66" s="71"/>
      <c r="E66" s="72"/>
      <c r="F66" s="73"/>
      <c r="G66" s="70"/>
      <c r="H66" s="74"/>
      <c r="I66" s="75"/>
      <c r="J66" s="75"/>
      <c r="K66" s="36"/>
      <c r="L66" s="82"/>
      <c r="M66" s="82"/>
      <c r="N66" s="77"/>
      <c r="O66" s="84" t="s">
        <v>501</v>
      </c>
      <c r="P66" s="86">
        <v>44024.031481481485</v>
      </c>
      <c r="Q66" s="84" t="s">
        <v>750</v>
      </c>
      <c r="R66" s="87" t="str">
        <f t="shared" si="2"/>
        <v>https://www.youtube.com/watch?v=MHmAZK9TOMk&amp;feature=youtu.be</v>
      </c>
      <c r="S66" s="84" t="s">
        <v>757</v>
      </c>
      <c r="T66" s="84" t="s">
        <v>856</v>
      </c>
      <c r="U66" s="84"/>
      <c r="V66" s="87" t="str">
        <f t="shared" si="3"/>
        <v>http://pbs.twimg.com/profile_images/1275228658521669632/ddxuDAf2_normal.jpg</v>
      </c>
      <c r="W66" s="86">
        <v>44024.031481481485</v>
      </c>
      <c r="X66" s="90">
        <v>44024</v>
      </c>
      <c r="Y66" s="92" t="s">
        <v>1266</v>
      </c>
      <c r="Z66" s="87" t="str">
        <f>HYPERLINK("https://twitter.com/amotherinusa/status/1282113781452075009")</f>
        <v>https://twitter.com/amotherinusa/status/1282113781452075009</v>
      </c>
      <c r="AA66" s="84"/>
      <c r="AB66" s="84"/>
      <c r="AC66" s="92" t="s">
        <v>1689</v>
      </c>
      <c r="AD66" s="92" t="s">
        <v>1723</v>
      </c>
      <c r="AE66" s="84" t="b">
        <v>0</v>
      </c>
      <c r="AF66" s="84">
        <v>3</v>
      </c>
      <c r="AG66" s="92" t="s">
        <v>1748</v>
      </c>
      <c r="AH66" s="84" t="b">
        <v>0</v>
      </c>
      <c r="AI66" s="84" t="s">
        <v>1751</v>
      </c>
      <c r="AJ66" s="84"/>
      <c r="AK66" s="92" t="s">
        <v>1724</v>
      </c>
      <c r="AL66" s="84" t="b">
        <v>0</v>
      </c>
      <c r="AM66" s="84">
        <v>3</v>
      </c>
      <c r="AN66" s="92" t="s">
        <v>1724</v>
      </c>
      <c r="AO66" s="84" t="s">
        <v>1766</v>
      </c>
      <c r="AP66" s="84" t="b">
        <v>0</v>
      </c>
      <c r="AQ66" s="92" t="s">
        <v>1723</v>
      </c>
      <c r="AR66" s="84" t="s">
        <v>179</v>
      </c>
      <c r="AS66" s="84">
        <v>0</v>
      </c>
      <c r="AT66" s="84">
        <v>0</v>
      </c>
      <c r="AU66" s="84"/>
      <c r="AV66" s="84"/>
      <c r="AW66" s="84"/>
      <c r="AX66" s="84"/>
      <c r="AY66" s="84"/>
      <c r="AZ66" s="84"/>
      <c r="BA66" s="84"/>
      <c r="BB66" s="84"/>
    </row>
    <row r="67" spans="1:54" x14ac:dyDescent="0.2">
      <c r="A67" s="69" t="s">
        <v>442</v>
      </c>
      <c r="B67" s="69" t="s">
        <v>499</v>
      </c>
      <c r="C67" s="70"/>
      <c r="D67" s="71"/>
      <c r="E67" s="72"/>
      <c r="F67" s="73"/>
      <c r="G67" s="70"/>
      <c r="H67" s="74"/>
      <c r="I67" s="75"/>
      <c r="J67" s="75"/>
      <c r="K67" s="36"/>
      <c r="L67" s="82"/>
      <c r="M67" s="82"/>
      <c r="N67" s="77"/>
      <c r="O67" s="84" t="s">
        <v>501</v>
      </c>
      <c r="P67" s="86">
        <v>44024.031481481485</v>
      </c>
      <c r="Q67" s="84" t="s">
        <v>750</v>
      </c>
      <c r="R67" s="87" t="str">
        <f t="shared" si="2"/>
        <v>https://www.youtube.com/watch?v=MHmAZK9TOMk&amp;feature=youtu.be</v>
      </c>
      <c r="S67" s="84" t="s">
        <v>757</v>
      </c>
      <c r="T67" s="84" t="s">
        <v>856</v>
      </c>
      <c r="U67" s="84"/>
      <c r="V67" s="87" t="str">
        <f t="shared" si="3"/>
        <v>http://pbs.twimg.com/profile_images/1275228658521669632/ddxuDAf2_normal.jpg</v>
      </c>
      <c r="W67" s="86">
        <v>44024.031481481485</v>
      </c>
      <c r="X67" s="90">
        <v>44024</v>
      </c>
      <c r="Y67" s="92" t="s">
        <v>1266</v>
      </c>
      <c r="Z67" s="87" t="str">
        <f>HYPERLINK("https://twitter.com/amotherinusa/status/1282113781452075009")</f>
        <v>https://twitter.com/amotherinusa/status/1282113781452075009</v>
      </c>
      <c r="AA67" s="84"/>
      <c r="AB67" s="84"/>
      <c r="AC67" s="92" t="s">
        <v>1689</v>
      </c>
      <c r="AD67" s="92" t="s">
        <v>1723</v>
      </c>
      <c r="AE67" s="84" t="b">
        <v>0</v>
      </c>
      <c r="AF67" s="84">
        <v>3</v>
      </c>
      <c r="AG67" s="92" t="s">
        <v>1748</v>
      </c>
      <c r="AH67" s="84" t="b">
        <v>0</v>
      </c>
      <c r="AI67" s="84" t="s">
        <v>1751</v>
      </c>
      <c r="AJ67" s="84"/>
      <c r="AK67" s="92" t="s">
        <v>1724</v>
      </c>
      <c r="AL67" s="84" t="b">
        <v>0</v>
      </c>
      <c r="AM67" s="84">
        <v>3</v>
      </c>
      <c r="AN67" s="92" t="s">
        <v>1724</v>
      </c>
      <c r="AO67" s="84" t="s">
        <v>1766</v>
      </c>
      <c r="AP67" s="84" t="b">
        <v>0</v>
      </c>
      <c r="AQ67" s="92" t="s">
        <v>1723</v>
      </c>
      <c r="AR67" s="84" t="s">
        <v>179</v>
      </c>
      <c r="AS67" s="84">
        <v>0</v>
      </c>
      <c r="AT67" s="84">
        <v>0</v>
      </c>
      <c r="AU67" s="84"/>
      <c r="AV67" s="84"/>
      <c r="AW67" s="84"/>
      <c r="AX67" s="84"/>
      <c r="AY67" s="84"/>
      <c r="AZ67" s="84"/>
      <c r="BA67" s="84"/>
      <c r="BB67" s="84"/>
    </row>
    <row r="68" spans="1:54" x14ac:dyDescent="0.2">
      <c r="A68" s="69" t="s">
        <v>442</v>
      </c>
      <c r="B68" s="69" t="s">
        <v>462</v>
      </c>
      <c r="C68" s="70"/>
      <c r="D68" s="71"/>
      <c r="E68" s="72"/>
      <c r="F68" s="73"/>
      <c r="G68" s="70"/>
      <c r="H68" s="74"/>
      <c r="I68" s="75"/>
      <c r="J68" s="75"/>
      <c r="K68" s="36"/>
      <c r="L68" s="82"/>
      <c r="M68" s="82"/>
      <c r="N68" s="77"/>
      <c r="O68" s="84" t="s">
        <v>501</v>
      </c>
      <c r="P68" s="86">
        <v>44024.031481481485</v>
      </c>
      <c r="Q68" s="84" t="s">
        <v>750</v>
      </c>
      <c r="R68" s="87" t="str">
        <f t="shared" si="2"/>
        <v>https://www.youtube.com/watch?v=MHmAZK9TOMk&amp;feature=youtu.be</v>
      </c>
      <c r="S68" s="84" t="s">
        <v>757</v>
      </c>
      <c r="T68" s="84" t="s">
        <v>856</v>
      </c>
      <c r="U68" s="84"/>
      <c r="V68" s="87" t="str">
        <f t="shared" si="3"/>
        <v>http://pbs.twimg.com/profile_images/1275228658521669632/ddxuDAf2_normal.jpg</v>
      </c>
      <c r="W68" s="86">
        <v>44024.031481481485</v>
      </c>
      <c r="X68" s="90">
        <v>44024</v>
      </c>
      <c r="Y68" s="92" t="s">
        <v>1266</v>
      </c>
      <c r="Z68" s="87" t="str">
        <f>HYPERLINK("https://twitter.com/amotherinusa/status/1282113781452075009")</f>
        <v>https://twitter.com/amotherinusa/status/1282113781452075009</v>
      </c>
      <c r="AA68" s="84"/>
      <c r="AB68" s="84"/>
      <c r="AC68" s="92" t="s">
        <v>1689</v>
      </c>
      <c r="AD68" s="92" t="s">
        <v>1723</v>
      </c>
      <c r="AE68" s="84" t="b">
        <v>0</v>
      </c>
      <c r="AF68" s="84">
        <v>3</v>
      </c>
      <c r="AG68" s="92" t="s">
        <v>1748</v>
      </c>
      <c r="AH68" s="84" t="b">
        <v>0</v>
      </c>
      <c r="AI68" s="84" t="s">
        <v>1751</v>
      </c>
      <c r="AJ68" s="84"/>
      <c r="AK68" s="92" t="s">
        <v>1724</v>
      </c>
      <c r="AL68" s="84" t="b">
        <v>0</v>
      </c>
      <c r="AM68" s="84">
        <v>3</v>
      </c>
      <c r="AN68" s="92" t="s">
        <v>1724</v>
      </c>
      <c r="AO68" s="84" t="s">
        <v>1766</v>
      </c>
      <c r="AP68" s="84" t="b">
        <v>0</v>
      </c>
      <c r="AQ68" s="92" t="s">
        <v>1723</v>
      </c>
      <c r="AR68" s="84" t="s">
        <v>179</v>
      </c>
      <c r="AS68" s="84">
        <v>0</v>
      </c>
      <c r="AT68" s="84">
        <v>0</v>
      </c>
      <c r="AU68" s="84"/>
      <c r="AV68" s="84"/>
      <c r="AW68" s="84"/>
      <c r="AX68" s="84"/>
      <c r="AY68" s="84"/>
      <c r="AZ68" s="84"/>
      <c r="BA68" s="84"/>
      <c r="BB68" s="84"/>
    </row>
    <row r="69" spans="1:54" x14ac:dyDescent="0.2">
      <c r="A69" s="69" t="s">
        <v>442</v>
      </c>
      <c r="B69" s="69" t="s">
        <v>461</v>
      </c>
      <c r="C69" s="70"/>
      <c r="D69" s="71"/>
      <c r="E69" s="72"/>
      <c r="F69" s="73"/>
      <c r="G69" s="70"/>
      <c r="H69" s="74"/>
      <c r="I69" s="75"/>
      <c r="J69" s="75"/>
      <c r="K69" s="36"/>
      <c r="L69" s="82"/>
      <c r="M69" s="82"/>
      <c r="N69" s="77"/>
      <c r="O69" s="84" t="s">
        <v>503</v>
      </c>
      <c r="P69" s="86">
        <v>44024.031481481485</v>
      </c>
      <c r="Q69" s="84" t="s">
        <v>750</v>
      </c>
      <c r="R69" s="87" t="str">
        <f t="shared" si="2"/>
        <v>https://www.youtube.com/watch?v=MHmAZK9TOMk&amp;feature=youtu.be</v>
      </c>
      <c r="S69" s="84" t="s">
        <v>757</v>
      </c>
      <c r="T69" s="84" t="s">
        <v>856</v>
      </c>
      <c r="U69" s="84"/>
      <c r="V69" s="87" t="str">
        <f t="shared" si="3"/>
        <v>http://pbs.twimg.com/profile_images/1275228658521669632/ddxuDAf2_normal.jpg</v>
      </c>
      <c r="W69" s="86">
        <v>44024.031481481485</v>
      </c>
      <c r="X69" s="90">
        <v>44024</v>
      </c>
      <c r="Y69" s="92" t="s">
        <v>1266</v>
      </c>
      <c r="Z69" s="87" t="str">
        <f>HYPERLINK("https://twitter.com/amotherinusa/status/1282113781452075009")</f>
        <v>https://twitter.com/amotherinusa/status/1282113781452075009</v>
      </c>
      <c r="AA69" s="84"/>
      <c r="AB69" s="84"/>
      <c r="AC69" s="92" t="s">
        <v>1689</v>
      </c>
      <c r="AD69" s="92" t="s">
        <v>1723</v>
      </c>
      <c r="AE69" s="84" t="b">
        <v>0</v>
      </c>
      <c r="AF69" s="84">
        <v>3</v>
      </c>
      <c r="AG69" s="92" t="s">
        <v>1748</v>
      </c>
      <c r="AH69" s="84" t="b">
        <v>0</v>
      </c>
      <c r="AI69" s="84" t="s">
        <v>1751</v>
      </c>
      <c r="AJ69" s="84"/>
      <c r="AK69" s="92" t="s">
        <v>1724</v>
      </c>
      <c r="AL69" s="84" t="b">
        <v>0</v>
      </c>
      <c r="AM69" s="84">
        <v>3</v>
      </c>
      <c r="AN69" s="92" t="s">
        <v>1724</v>
      </c>
      <c r="AO69" s="84" t="s">
        <v>1766</v>
      </c>
      <c r="AP69" s="84" t="b">
        <v>0</v>
      </c>
      <c r="AQ69" s="92" t="s">
        <v>1723</v>
      </c>
      <c r="AR69" s="84" t="s">
        <v>179</v>
      </c>
      <c r="AS69" s="84">
        <v>0</v>
      </c>
      <c r="AT69" s="84">
        <v>0</v>
      </c>
      <c r="AU69" s="84"/>
      <c r="AV69" s="84"/>
      <c r="AW69" s="84"/>
      <c r="AX69" s="84"/>
      <c r="AY69" s="84"/>
      <c r="AZ69" s="84"/>
      <c r="BA69" s="84"/>
      <c r="BB69" s="84"/>
    </row>
    <row r="70" spans="1:54" x14ac:dyDescent="0.2">
      <c r="A70" s="69" t="s">
        <v>442</v>
      </c>
      <c r="B70" s="69" t="s">
        <v>490</v>
      </c>
      <c r="C70" s="70"/>
      <c r="D70" s="71"/>
      <c r="E70" s="72"/>
      <c r="F70" s="73"/>
      <c r="G70" s="70"/>
      <c r="H70" s="74"/>
      <c r="I70" s="75"/>
      <c r="J70" s="75"/>
      <c r="K70" s="36"/>
      <c r="L70" s="82"/>
      <c r="M70" s="82"/>
      <c r="N70" s="77"/>
      <c r="O70" s="84" t="s">
        <v>501</v>
      </c>
      <c r="P70" s="86">
        <v>44024.031342592592</v>
      </c>
      <c r="Q70" s="84" t="s">
        <v>741</v>
      </c>
      <c r="R70" s="87" t="str">
        <f t="shared" si="2"/>
        <v>https://www.youtube.com/watch?v=MHmAZK9TOMk&amp;feature=youtu.be</v>
      </c>
      <c r="S70" s="84" t="s">
        <v>757</v>
      </c>
      <c r="T70" s="84" t="s">
        <v>856</v>
      </c>
      <c r="U70" s="84"/>
      <c r="V70" s="87" t="str">
        <f t="shared" si="3"/>
        <v>http://pbs.twimg.com/profile_images/1275228658521669632/ddxuDAf2_normal.jpg</v>
      </c>
      <c r="W70" s="86">
        <v>44024.031342592592</v>
      </c>
      <c r="X70" s="90">
        <v>44024</v>
      </c>
      <c r="Y70" s="92" t="s">
        <v>1238</v>
      </c>
      <c r="Z70" s="87" t="str">
        <f>HYPERLINK("https://twitter.com/amotherinusa/status/1282113729895645184")</f>
        <v>https://twitter.com/amotherinusa/status/1282113729895645184</v>
      </c>
      <c r="AA70" s="84"/>
      <c r="AB70" s="84"/>
      <c r="AC70" s="92" t="s">
        <v>1659</v>
      </c>
      <c r="AD70" s="92" t="s">
        <v>1719</v>
      </c>
      <c r="AE70" s="84" t="b">
        <v>0</v>
      </c>
      <c r="AF70" s="84">
        <v>0</v>
      </c>
      <c r="AG70" s="92" t="s">
        <v>1744</v>
      </c>
      <c r="AH70" s="84" t="b">
        <v>0</v>
      </c>
      <c r="AI70" s="84" t="s">
        <v>1751</v>
      </c>
      <c r="AJ70" s="84"/>
      <c r="AK70" s="92" t="s">
        <v>1724</v>
      </c>
      <c r="AL70" s="84" t="b">
        <v>0</v>
      </c>
      <c r="AM70" s="84">
        <v>0</v>
      </c>
      <c r="AN70" s="92" t="s">
        <v>1724</v>
      </c>
      <c r="AO70" s="84" t="s">
        <v>1766</v>
      </c>
      <c r="AP70" s="84" t="b">
        <v>0</v>
      </c>
      <c r="AQ70" s="92" t="s">
        <v>1719</v>
      </c>
      <c r="AR70" s="84" t="s">
        <v>179</v>
      </c>
      <c r="AS70" s="84">
        <v>0</v>
      </c>
      <c r="AT70" s="84">
        <v>0</v>
      </c>
      <c r="AU70" s="84"/>
      <c r="AV70" s="84"/>
      <c r="AW70" s="84"/>
      <c r="AX70" s="84"/>
      <c r="AY70" s="84"/>
      <c r="AZ70" s="84"/>
      <c r="BA70" s="84"/>
      <c r="BB70" s="84"/>
    </row>
    <row r="71" spans="1:54" x14ac:dyDescent="0.2">
      <c r="A71" s="69" t="s">
        <v>442</v>
      </c>
      <c r="B71" s="69" t="s">
        <v>491</v>
      </c>
      <c r="C71" s="70"/>
      <c r="D71" s="71"/>
      <c r="E71" s="72"/>
      <c r="F71" s="73"/>
      <c r="G71" s="70"/>
      <c r="H71" s="74"/>
      <c r="I71" s="75"/>
      <c r="J71" s="75"/>
      <c r="K71" s="36"/>
      <c r="L71" s="82"/>
      <c r="M71" s="82"/>
      <c r="N71" s="77"/>
      <c r="O71" s="84" t="s">
        <v>503</v>
      </c>
      <c r="P71" s="86">
        <v>44024.031342592592</v>
      </c>
      <c r="Q71" s="84" t="s">
        <v>741</v>
      </c>
      <c r="R71" s="87" t="str">
        <f t="shared" si="2"/>
        <v>https://www.youtube.com/watch?v=MHmAZK9TOMk&amp;feature=youtu.be</v>
      </c>
      <c r="S71" s="84" t="s">
        <v>757</v>
      </c>
      <c r="T71" s="84" t="s">
        <v>856</v>
      </c>
      <c r="U71" s="84"/>
      <c r="V71" s="87" t="str">
        <f t="shared" si="3"/>
        <v>http://pbs.twimg.com/profile_images/1275228658521669632/ddxuDAf2_normal.jpg</v>
      </c>
      <c r="W71" s="86">
        <v>44024.031342592592</v>
      </c>
      <c r="X71" s="90">
        <v>44024</v>
      </c>
      <c r="Y71" s="92" t="s">
        <v>1238</v>
      </c>
      <c r="Z71" s="87" t="str">
        <f>HYPERLINK("https://twitter.com/amotherinusa/status/1282113729895645184")</f>
        <v>https://twitter.com/amotherinusa/status/1282113729895645184</v>
      </c>
      <c r="AA71" s="84"/>
      <c r="AB71" s="84"/>
      <c r="AC71" s="92" t="s">
        <v>1659</v>
      </c>
      <c r="AD71" s="92" t="s">
        <v>1719</v>
      </c>
      <c r="AE71" s="84" t="b">
        <v>0</v>
      </c>
      <c r="AF71" s="84">
        <v>0</v>
      </c>
      <c r="AG71" s="92" t="s">
        <v>1744</v>
      </c>
      <c r="AH71" s="84" t="b">
        <v>0</v>
      </c>
      <c r="AI71" s="84" t="s">
        <v>1751</v>
      </c>
      <c r="AJ71" s="84"/>
      <c r="AK71" s="92" t="s">
        <v>1724</v>
      </c>
      <c r="AL71" s="84" t="b">
        <v>0</v>
      </c>
      <c r="AM71" s="84">
        <v>0</v>
      </c>
      <c r="AN71" s="92" t="s">
        <v>1724</v>
      </c>
      <c r="AO71" s="84" t="s">
        <v>1766</v>
      </c>
      <c r="AP71" s="84" t="b">
        <v>0</v>
      </c>
      <c r="AQ71" s="92" t="s">
        <v>1719</v>
      </c>
      <c r="AR71" s="84" t="s">
        <v>179</v>
      </c>
      <c r="AS71" s="84">
        <v>0</v>
      </c>
      <c r="AT71" s="84">
        <v>0</v>
      </c>
      <c r="AU71" s="84"/>
      <c r="AV71" s="84"/>
      <c r="AW71" s="84"/>
      <c r="AX71" s="84"/>
      <c r="AY71" s="84"/>
      <c r="AZ71" s="84"/>
      <c r="BA71" s="84"/>
      <c r="BB71" s="84"/>
    </row>
    <row r="72" spans="1:54" x14ac:dyDescent="0.2">
      <c r="A72" s="69" t="s">
        <v>433</v>
      </c>
      <c r="B72" s="69" t="s">
        <v>442</v>
      </c>
      <c r="C72" s="70"/>
      <c r="D72" s="71"/>
      <c r="E72" s="72"/>
      <c r="F72" s="73"/>
      <c r="G72" s="70"/>
      <c r="H72" s="74"/>
      <c r="I72" s="75"/>
      <c r="J72" s="75"/>
      <c r="K72" s="36"/>
      <c r="L72" s="82"/>
      <c r="M72" s="82"/>
      <c r="N72" s="77"/>
      <c r="O72" s="84" t="s">
        <v>500</v>
      </c>
      <c r="P72" s="86">
        <v>44024.031215277777</v>
      </c>
      <c r="Q72" s="84" t="s">
        <v>720</v>
      </c>
      <c r="R72" s="84"/>
      <c r="S72" s="84"/>
      <c r="T72" s="84"/>
      <c r="U72" s="84"/>
      <c r="V72" s="87" t="str">
        <f>HYPERLINK("http://pbs.twimg.com/profile_images/1281718729236242433/9fUBuRZx_normal.jpg")</f>
        <v>http://pbs.twimg.com/profile_images/1281718729236242433/9fUBuRZx_normal.jpg</v>
      </c>
      <c r="W72" s="86">
        <v>44024.031215277777</v>
      </c>
      <c r="X72" s="90">
        <v>44024</v>
      </c>
      <c r="Y72" s="92" t="s">
        <v>1207</v>
      </c>
      <c r="Z72" s="87" t="str">
        <f>HYPERLINK("https://twitter.com/ghettolion17/status/1282113685801111552")</f>
        <v>https://twitter.com/ghettolion17/status/1282113685801111552</v>
      </c>
      <c r="AA72" s="84"/>
      <c r="AB72" s="84"/>
      <c r="AC72" s="92" t="s">
        <v>1628</v>
      </c>
      <c r="AD72" s="84"/>
      <c r="AE72" s="84" t="b">
        <v>0</v>
      </c>
      <c r="AF72" s="84">
        <v>0</v>
      </c>
      <c r="AG72" s="92" t="s">
        <v>1724</v>
      </c>
      <c r="AH72" s="84" t="b">
        <v>0</v>
      </c>
      <c r="AI72" s="84" t="s">
        <v>1751</v>
      </c>
      <c r="AJ72" s="84"/>
      <c r="AK72" s="92" t="s">
        <v>1724</v>
      </c>
      <c r="AL72" s="84" t="b">
        <v>0</v>
      </c>
      <c r="AM72" s="84">
        <v>8</v>
      </c>
      <c r="AN72" s="92" t="s">
        <v>1699</v>
      </c>
      <c r="AO72" s="84" t="s">
        <v>1763</v>
      </c>
      <c r="AP72" s="84" t="b">
        <v>0</v>
      </c>
      <c r="AQ72" s="92" t="s">
        <v>1699</v>
      </c>
      <c r="AR72" s="84" t="s">
        <v>179</v>
      </c>
      <c r="AS72" s="84">
        <v>0</v>
      </c>
      <c r="AT72" s="84">
        <v>0</v>
      </c>
      <c r="AU72" s="84"/>
      <c r="AV72" s="84"/>
      <c r="AW72" s="84"/>
      <c r="AX72" s="84"/>
      <c r="AY72" s="84"/>
      <c r="AZ72" s="84"/>
      <c r="BA72" s="84"/>
      <c r="BB72" s="84"/>
    </row>
    <row r="73" spans="1:54" x14ac:dyDescent="0.2">
      <c r="A73" s="69" t="s">
        <v>443</v>
      </c>
      <c r="B73" s="69" t="s">
        <v>442</v>
      </c>
      <c r="C73" s="70"/>
      <c r="D73" s="71"/>
      <c r="E73" s="72"/>
      <c r="F73" s="73"/>
      <c r="G73" s="70"/>
      <c r="H73" s="74"/>
      <c r="I73" s="75"/>
      <c r="J73" s="75"/>
      <c r="K73" s="36"/>
      <c r="L73" s="82"/>
      <c r="M73" s="82"/>
      <c r="N73" s="77"/>
      <c r="O73" s="84" t="s">
        <v>500</v>
      </c>
      <c r="P73" s="86">
        <v>44024.031145833331</v>
      </c>
      <c r="Q73" s="84" t="s">
        <v>722</v>
      </c>
      <c r="R73" s="84"/>
      <c r="S73" s="84"/>
      <c r="T73" s="84"/>
      <c r="U73" s="84"/>
      <c r="V73" s="87" t="str">
        <f>HYPERLINK("http://pbs.twimg.com/profile_images/1281621755501649922/65NjHPMv_normal.jpg")</f>
        <v>http://pbs.twimg.com/profile_images/1281621755501649922/65NjHPMv_normal.jpg</v>
      </c>
      <c r="W73" s="86">
        <v>44024.031145833331</v>
      </c>
      <c r="X73" s="90">
        <v>44024</v>
      </c>
      <c r="Y73" s="92" t="s">
        <v>1236</v>
      </c>
      <c r="Z73" s="87" t="str">
        <f>HYPERLINK("https://twitter.com/timetowakeupsw1/status/1282113660702404610")</f>
        <v>https://twitter.com/timetowakeupsw1/status/1282113660702404610</v>
      </c>
      <c r="AA73" s="84"/>
      <c r="AB73" s="84"/>
      <c r="AC73" s="92" t="s">
        <v>1657</v>
      </c>
      <c r="AD73" s="84"/>
      <c r="AE73" s="84" t="b">
        <v>0</v>
      </c>
      <c r="AF73" s="84">
        <v>0</v>
      </c>
      <c r="AG73" s="92" t="s">
        <v>1724</v>
      </c>
      <c r="AH73" s="84" t="b">
        <v>0</v>
      </c>
      <c r="AI73" s="84" t="s">
        <v>1751</v>
      </c>
      <c r="AJ73" s="84"/>
      <c r="AK73" s="92" t="s">
        <v>1724</v>
      </c>
      <c r="AL73" s="84" t="b">
        <v>0</v>
      </c>
      <c r="AM73" s="84">
        <v>3</v>
      </c>
      <c r="AN73" s="92" t="s">
        <v>1658</v>
      </c>
      <c r="AO73" s="84" t="s">
        <v>1766</v>
      </c>
      <c r="AP73" s="84" t="b">
        <v>0</v>
      </c>
      <c r="AQ73" s="92" t="s">
        <v>1658</v>
      </c>
      <c r="AR73" s="84" t="s">
        <v>179</v>
      </c>
      <c r="AS73" s="84">
        <v>0</v>
      </c>
      <c r="AT73" s="84">
        <v>0</v>
      </c>
      <c r="AU73" s="84"/>
      <c r="AV73" s="84"/>
      <c r="AW73" s="84"/>
      <c r="AX73" s="84"/>
      <c r="AY73" s="84"/>
      <c r="AZ73" s="84"/>
      <c r="BA73" s="84"/>
      <c r="BB73" s="84"/>
    </row>
    <row r="74" spans="1:54" x14ac:dyDescent="0.2">
      <c r="A74" s="69" t="s">
        <v>443</v>
      </c>
      <c r="B74" s="69" t="s">
        <v>485</v>
      </c>
      <c r="C74" s="70"/>
      <c r="D74" s="71"/>
      <c r="E74" s="72"/>
      <c r="F74" s="73"/>
      <c r="G74" s="70"/>
      <c r="H74" s="74"/>
      <c r="I74" s="75"/>
      <c r="J74" s="75"/>
      <c r="K74" s="36"/>
      <c r="L74" s="82"/>
      <c r="M74" s="82"/>
      <c r="N74" s="77"/>
      <c r="O74" s="84" t="s">
        <v>503</v>
      </c>
      <c r="P74" s="86">
        <v>44024.031145833331</v>
      </c>
      <c r="Q74" s="84" t="s">
        <v>722</v>
      </c>
      <c r="R74" s="84"/>
      <c r="S74" s="84"/>
      <c r="T74" s="84"/>
      <c r="U74" s="84"/>
      <c r="V74" s="87" t="str">
        <f>HYPERLINK("http://pbs.twimg.com/profile_images/1281621755501649922/65NjHPMv_normal.jpg")</f>
        <v>http://pbs.twimg.com/profile_images/1281621755501649922/65NjHPMv_normal.jpg</v>
      </c>
      <c r="W74" s="86">
        <v>44024.031145833331</v>
      </c>
      <c r="X74" s="90">
        <v>44024</v>
      </c>
      <c r="Y74" s="92" t="s">
        <v>1236</v>
      </c>
      <c r="Z74" s="87" t="str">
        <f>HYPERLINK("https://twitter.com/timetowakeupsw1/status/1282113660702404610")</f>
        <v>https://twitter.com/timetowakeupsw1/status/1282113660702404610</v>
      </c>
      <c r="AA74" s="84"/>
      <c r="AB74" s="84"/>
      <c r="AC74" s="92" t="s">
        <v>1657</v>
      </c>
      <c r="AD74" s="84"/>
      <c r="AE74" s="84" t="b">
        <v>0</v>
      </c>
      <c r="AF74" s="84">
        <v>0</v>
      </c>
      <c r="AG74" s="92" t="s">
        <v>1724</v>
      </c>
      <c r="AH74" s="84" t="b">
        <v>0</v>
      </c>
      <c r="AI74" s="84" t="s">
        <v>1751</v>
      </c>
      <c r="AJ74" s="84"/>
      <c r="AK74" s="92" t="s">
        <v>1724</v>
      </c>
      <c r="AL74" s="84" t="b">
        <v>0</v>
      </c>
      <c r="AM74" s="84">
        <v>3</v>
      </c>
      <c r="AN74" s="92" t="s">
        <v>1658</v>
      </c>
      <c r="AO74" s="84" t="s">
        <v>1766</v>
      </c>
      <c r="AP74" s="84" t="b">
        <v>0</v>
      </c>
      <c r="AQ74" s="92" t="s">
        <v>1658</v>
      </c>
      <c r="AR74" s="84" t="s">
        <v>179</v>
      </c>
      <c r="AS74" s="84">
        <v>0</v>
      </c>
      <c r="AT74" s="84">
        <v>0</v>
      </c>
      <c r="AU74" s="84"/>
      <c r="AV74" s="84"/>
      <c r="AW74" s="84"/>
      <c r="AX74" s="84"/>
      <c r="AY74" s="84"/>
      <c r="AZ74" s="84"/>
      <c r="BA74" s="84"/>
      <c r="BB74" s="84"/>
    </row>
    <row r="75" spans="1:54" x14ac:dyDescent="0.2">
      <c r="A75" s="69" t="s">
        <v>442</v>
      </c>
      <c r="B75" s="69" t="s">
        <v>443</v>
      </c>
      <c r="C75" s="70"/>
      <c r="D75" s="71"/>
      <c r="E75" s="72"/>
      <c r="F75" s="73"/>
      <c r="G75" s="70"/>
      <c r="H75" s="74"/>
      <c r="I75" s="75"/>
      <c r="J75" s="75"/>
      <c r="K75" s="36"/>
      <c r="L75" s="82"/>
      <c r="M75" s="82"/>
      <c r="N75" s="77"/>
      <c r="O75" s="84" t="s">
        <v>501</v>
      </c>
      <c r="P75" s="86">
        <v>44024.030856481484</v>
      </c>
      <c r="Q75" s="84" t="s">
        <v>722</v>
      </c>
      <c r="R75" s="87" t="str">
        <f>HYPERLINK("https://www.youtube.com/watch?v=MHmAZK9TOMk&amp;feature=youtu.be")</f>
        <v>https://www.youtube.com/watch?v=MHmAZK9TOMk&amp;feature=youtu.be</v>
      </c>
      <c r="S75" s="84" t="s">
        <v>757</v>
      </c>
      <c r="T75" s="84" t="s">
        <v>856</v>
      </c>
      <c r="U75" s="84"/>
      <c r="V75" s="87" t="str">
        <f t="shared" ref="V75:V81" si="4">HYPERLINK("http://pbs.twimg.com/profile_images/1275228658521669632/ddxuDAf2_normal.jpg")</f>
        <v>http://pbs.twimg.com/profile_images/1275228658521669632/ddxuDAf2_normal.jpg</v>
      </c>
      <c r="W75" s="86">
        <v>44024.030856481484</v>
      </c>
      <c r="X75" s="90">
        <v>44024</v>
      </c>
      <c r="Y75" s="92" t="s">
        <v>1237</v>
      </c>
      <c r="Z75" s="87" t="str">
        <f>HYPERLINK("https://twitter.com/amotherinusa/status/1282113554699579392")</f>
        <v>https://twitter.com/amotherinusa/status/1282113554699579392</v>
      </c>
      <c r="AA75" s="84"/>
      <c r="AB75" s="84"/>
      <c r="AC75" s="92" t="s">
        <v>1658</v>
      </c>
      <c r="AD75" s="92" t="s">
        <v>1718</v>
      </c>
      <c r="AE75" s="84" t="b">
        <v>0</v>
      </c>
      <c r="AF75" s="84">
        <v>4</v>
      </c>
      <c r="AG75" s="92" t="s">
        <v>1743</v>
      </c>
      <c r="AH75" s="84" t="b">
        <v>0</v>
      </c>
      <c r="AI75" s="84" t="s">
        <v>1751</v>
      </c>
      <c r="AJ75" s="84"/>
      <c r="AK75" s="92" t="s">
        <v>1724</v>
      </c>
      <c r="AL75" s="84" t="b">
        <v>0</v>
      </c>
      <c r="AM75" s="84">
        <v>3</v>
      </c>
      <c r="AN75" s="92" t="s">
        <v>1724</v>
      </c>
      <c r="AO75" s="84" t="s">
        <v>1766</v>
      </c>
      <c r="AP75" s="84" t="b">
        <v>0</v>
      </c>
      <c r="AQ75" s="92" t="s">
        <v>1718</v>
      </c>
      <c r="AR75" s="84" t="s">
        <v>179</v>
      </c>
      <c r="AS75" s="84">
        <v>0</v>
      </c>
      <c r="AT75" s="84">
        <v>0</v>
      </c>
      <c r="AU75" s="84"/>
      <c r="AV75" s="84"/>
      <c r="AW75" s="84"/>
      <c r="AX75" s="84"/>
      <c r="AY75" s="84"/>
      <c r="AZ75" s="84"/>
      <c r="BA75" s="84"/>
      <c r="BB75" s="84"/>
    </row>
    <row r="76" spans="1:54" x14ac:dyDescent="0.2">
      <c r="A76" s="69" t="s">
        <v>442</v>
      </c>
      <c r="B76" s="69" t="s">
        <v>485</v>
      </c>
      <c r="C76" s="70"/>
      <c r="D76" s="71"/>
      <c r="E76" s="72"/>
      <c r="F76" s="73"/>
      <c r="G76" s="70"/>
      <c r="H76" s="74"/>
      <c r="I76" s="75"/>
      <c r="J76" s="75"/>
      <c r="K76" s="36"/>
      <c r="L76" s="82"/>
      <c r="M76" s="82"/>
      <c r="N76" s="77"/>
      <c r="O76" s="84" t="s">
        <v>503</v>
      </c>
      <c r="P76" s="86">
        <v>44024.030856481484</v>
      </c>
      <c r="Q76" s="84" t="s">
        <v>722</v>
      </c>
      <c r="R76" s="87" t="str">
        <f>HYPERLINK("https://www.youtube.com/watch?v=MHmAZK9TOMk&amp;feature=youtu.be")</f>
        <v>https://www.youtube.com/watch?v=MHmAZK9TOMk&amp;feature=youtu.be</v>
      </c>
      <c r="S76" s="84" t="s">
        <v>757</v>
      </c>
      <c r="T76" s="84" t="s">
        <v>856</v>
      </c>
      <c r="U76" s="84"/>
      <c r="V76" s="87" t="str">
        <f t="shared" si="4"/>
        <v>http://pbs.twimg.com/profile_images/1275228658521669632/ddxuDAf2_normal.jpg</v>
      </c>
      <c r="W76" s="86">
        <v>44024.030856481484</v>
      </c>
      <c r="X76" s="90">
        <v>44024</v>
      </c>
      <c r="Y76" s="92" t="s">
        <v>1237</v>
      </c>
      <c r="Z76" s="87" t="str">
        <f>HYPERLINK("https://twitter.com/amotherinusa/status/1282113554699579392")</f>
        <v>https://twitter.com/amotherinusa/status/1282113554699579392</v>
      </c>
      <c r="AA76" s="84"/>
      <c r="AB76" s="84"/>
      <c r="AC76" s="92" t="s">
        <v>1658</v>
      </c>
      <c r="AD76" s="92" t="s">
        <v>1718</v>
      </c>
      <c r="AE76" s="84" t="b">
        <v>0</v>
      </c>
      <c r="AF76" s="84">
        <v>4</v>
      </c>
      <c r="AG76" s="92" t="s">
        <v>1743</v>
      </c>
      <c r="AH76" s="84" t="b">
        <v>0</v>
      </c>
      <c r="AI76" s="84" t="s">
        <v>1751</v>
      </c>
      <c r="AJ76" s="84"/>
      <c r="AK76" s="92" t="s">
        <v>1724</v>
      </c>
      <c r="AL76" s="84" t="b">
        <v>0</v>
      </c>
      <c r="AM76" s="84">
        <v>3</v>
      </c>
      <c r="AN76" s="92" t="s">
        <v>1724</v>
      </c>
      <c r="AO76" s="84" t="s">
        <v>1766</v>
      </c>
      <c r="AP76" s="84" t="b">
        <v>0</v>
      </c>
      <c r="AQ76" s="92" t="s">
        <v>1718</v>
      </c>
      <c r="AR76" s="84" t="s">
        <v>179</v>
      </c>
      <c r="AS76" s="84">
        <v>0</v>
      </c>
      <c r="AT76" s="84">
        <v>0</v>
      </c>
      <c r="AU76" s="84"/>
      <c r="AV76" s="84"/>
      <c r="AW76" s="84"/>
      <c r="AX76" s="84"/>
      <c r="AY76" s="84"/>
      <c r="AZ76" s="84"/>
      <c r="BA76" s="84"/>
      <c r="BB76" s="84"/>
    </row>
    <row r="77" spans="1:54" x14ac:dyDescent="0.2">
      <c r="A77" s="69" t="s">
        <v>442</v>
      </c>
      <c r="B77" s="69" t="s">
        <v>488</v>
      </c>
      <c r="C77" s="70"/>
      <c r="D77" s="71"/>
      <c r="E77" s="72"/>
      <c r="F77" s="73"/>
      <c r="G77" s="70"/>
      <c r="H77" s="74"/>
      <c r="I77" s="75"/>
      <c r="J77" s="75"/>
      <c r="K77" s="36"/>
      <c r="L77" s="82"/>
      <c r="M77" s="82"/>
      <c r="N77" s="77"/>
      <c r="O77" s="84" t="s">
        <v>502</v>
      </c>
      <c r="P77" s="86">
        <v>44024.030648148146</v>
      </c>
      <c r="Q77" s="84" t="s">
        <v>740</v>
      </c>
      <c r="R77" s="84"/>
      <c r="S77" s="84"/>
      <c r="T77" s="84"/>
      <c r="U77" s="84"/>
      <c r="V77" s="87" t="str">
        <f t="shared" si="4"/>
        <v>http://pbs.twimg.com/profile_images/1275228658521669632/ddxuDAf2_normal.jpg</v>
      </c>
      <c r="W77" s="86">
        <v>44024.030648148146</v>
      </c>
      <c r="X77" s="90">
        <v>44024</v>
      </c>
      <c r="Y77" s="92" t="s">
        <v>1235</v>
      </c>
      <c r="Z77" s="87" t="str">
        <f>HYPERLINK("https://twitter.com/amotherinusa/status/1282113479793508352")</f>
        <v>https://twitter.com/amotherinusa/status/1282113479793508352</v>
      </c>
      <c r="AA77" s="84"/>
      <c r="AB77" s="84"/>
      <c r="AC77" s="92" t="s">
        <v>1656</v>
      </c>
      <c r="AD77" s="84"/>
      <c r="AE77" s="84" t="b">
        <v>0</v>
      </c>
      <c r="AF77" s="84">
        <v>0</v>
      </c>
      <c r="AG77" s="92" t="s">
        <v>1724</v>
      </c>
      <c r="AH77" s="84" t="b">
        <v>0</v>
      </c>
      <c r="AI77" s="84" t="s">
        <v>1751</v>
      </c>
      <c r="AJ77" s="84"/>
      <c r="AK77" s="92" t="s">
        <v>1724</v>
      </c>
      <c r="AL77" s="84" t="b">
        <v>0</v>
      </c>
      <c r="AM77" s="84">
        <v>1</v>
      </c>
      <c r="AN77" s="92" t="s">
        <v>1655</v>
      </c>
      <c r="AO77" s="84" t="s">
        <v>1766</v>
      </c>
      <c r="AP77" s="84" t="b">
        <v>0</v>
      </c>
      <c r="AQ77" s="92" t="s">
        <v>1655</v>
      </c>
      <c r="AR77" s="84" t="s">
        <v>179</v>
      </c>
      <c r="AS77" s="84">
        <v>0</v>
      </c>
      <c r="AT77" s="84">
        <v>0</v>
      </c>
      <c r="AU77" s="84"/>
      <c r="AV77" s="84"/>
      <c r="AW77" s="84"/>
      <c r="AX77" s="84"/>
      <c r="AY77" s="84"/>
      <c r="AZ77" s="84"/>
      <c r="BA77" s="84"/>
      <c r="BB77" s="84"/>
    </row>
    <row r="78" spans="1:54" x14ac:dyDescent="0.2">
      <c r="A78" s="69" t="s">
        <v>442</v>
      </c>
      <c r="B78" s="69" t="s">
        <v>489</v>
      </c>
      <c r="C78" s="70"/>
      <c r="D78" s="71"/>
      <c r="E78" s="72"/>
      <c r="F78" s="73"/>
      <c r="G78" s="70"/>
      <c r="H78" s="74"/>
      <c r="I78" s="75"/>
      <c r="J78" s="75"/>
      <c r="K78" s="36"/>
      <c r="L78" s="82"/>
      <c r="M78" s="82"/>
      <c r="N78" s="77"/>
      <c r="O78" s="84" t="s">
        <v>503</v>
      </c>
      <c r="P78" s="86">
        <v>44024.030648148146</v>
      </c>
      <c r="Q78" s="84" t="s">
        <v>740</v>
      </c>
      <c r="R78" s="84"/>
      <c r="S78" s="84"/>
      <c r="T78" s="84"/>
      <c r="U78" s="84"/>
      <c r="V78" s="87" t="str">
        <f t="shared" si="4"/>
        <v>http://pbs.twimg.com/profile_images/1275228658521669632/ddxuDAf2_normal.jpg</v>
      </c>
      <c r="W78" s="86">
        <v>44024.030648148146</v>
      </c>
      <c r="X78" s="90">
        <v>44024</v>
      </c>
      <c r="Y78" s="92" t="s">
        <v>1235</v>
      </c>
      <c r="Z78" s="87" t="str">
        <f>HYPERLINK("https://twitter.com/amotherinusa/status/1282113479793508352")</f>
        <v>https://twitter.com/amotherinusa/status/1282113479793508352</v>
      </c>
      <c r="AA78" s="84"/>
      <c r="AB78" s="84"/>
      <c r="AC78" s="92" t="s">
        <v>1656</v>
      </c>
      <c r="AD78" s="84"/>
      <c r="AE78" s="84" t="b">
        <v>0</v>
      </c>
      <c r="AF78" s="84">
        <v>0</v>
      </c>
      <c r="AG78" s="92" t="s">
        <v>1724</v>
      </c>
      <c r="AH78" s="84" t="b">
        <v>0</v>
      </c>
      <c r="AI78" s="84" t="s">
        <v>1751</v>
      </c>
      <c r="AJ78" s="84"/>
      <c r="AK78" s="92" t="s">
        <v>1724</v>
      </c>
      <c r="AL78" s="84" t="b">
        <v>0</v>
      </c>
      <c r="AM78" s="84">
        <v>1</v>
      </c>
      <c r="AN78" s="92" t="s">
        <v>1655</v>
      </c>
      <c r="AO78" s="84" t="s">
        <v>1766</v>
      </c>
      <c r="AP78" s="84" t="b">
        <v>0</v>
      </c>
      <c r="AQ78" s="92" t="s">
        <v>1655</v>
      </c>
      <c r="AR78" s="84" t="s">
        <v>179</v>
      </c>
      <c r="AS78" s="84">
        <v>0</v>
      </c>
      <c r="AT78" s="84">
        <v>0</v>
      </c>
      <c r="AU78" s="84"/>
      <c r="AV78" s="84"/>
      <c r="AW78" s="84"/>
      <c r="AX78" s="84"/>
      <c r="AY78" s="84"/>
      <c r="AZ78" s="84"/>
      <c r="BA78" s="84"/>
      <c r="BB78" s="84"/>
    </row>
    <row r="79" spans="1:54" x14ac:dyDescent="0.2">
      <c r="A79" s="69" t="s">
        <v>442</v>
      </c>
      <c r="B79" s="69" t="s">
        <v>442</v>
      </c>
      <c r="C79" s="70"/>
      <c r="D79" s="71"/>
      <c r="E79" s="72"/>
      <c r="F79" s="73"/>
      <c r="G79" s="70"/>
      <c r="H79" s="74"/>
      <c r="I79" s="75"/>
      <c r="J79" s="75"/>
      <c r="K79" s="36"/>
      <c r="L79" s="82"/>
      <c r="M79" s="82"/>
      <c r="N79" s="77"/>
      <c r="O79" s="84" t="s">
        <v>500</v>
      </c>
      <c r="P79" s="86">
        <v>44024.030648148146</v>
      </c>
      <c r="Q79" s="84" t="s">
        <v>740</v>
      </c>
      <c r="R79" s="84"/>
      <c r="S79" s="84"/>
      <c r="T79" s="84"/>
      <c r="U79" s="84"/>
      <c r="V79" s="87" t="str">
        <f t="shared" si="4"/>
        <v>http://pbs.twimg.com/profile_images/1275228658521669632/ddxuDAf2_normal.jpg</v>
      </c>
      <c r="W79" s="86">
        <v>44024.030648148146</v>
      </c>
      <c r="X79" s="90">
        <v>44024</v>
      </c>
      <c r="Y79" s="92" t="s">
        <v>1235</v>
      </c>
      <c r="Z79" s="87" t="str">
        <f>HYPERLINK("https://twitter.com/amotherinusa/status/1282113479793508352")</f>
        <v>https://twitter.com/amotherinusa/status/1282113479793508352</v>
      </c>
      <c r="AA79" s="84"/>
      <c r="AB79" s="84"/>
      <c r="AC79" s="92" t="s">
        <v>1656</v>
      </c>
      <c r="AD79" s="84"/>
      <c r="AE79" s="84" t="b">
        <v>0</v>
      </c>
      <c r="AF79" s="84">
        <v>0</v>
      </c>
      <c r="AG79" s="92" t="s">
        <v>1724</v>
      </c>
      <c r="AH79" s="84" t="b">
        <v>0</v>
      </c>
      <c r="AI79" s="84" t="s">
        <v>1751</v>
      </c>
      <c r="AJ79" s="84"/>
      <c r="AK79" s="92" t="s">
        <v>1724</v>
      </c>
      <c r="AL79" s="84" t="b">
        <v>0</v>
      </c>
      <c r="AM79" s="84">
        <v>1</v>
      </c>
      <c r="AN79" s="92" t="s">
        <v>1655</v>
      </c>
      <c r="AO79" s="84" t="s">
        <v>1766</v>
      </c>
      <c r="AP79" s="84" t="b">
        <v>0</v>
      </c>
      <c r="AQ79" s="92" t="s">
        <v>1655</v>
      </c>
      <c r="AR79" s="84" t="s">
        <v>179</v>
      </c>
      <c r="AS79" s="84">
        <v>0</v>
      </c>
      <c r="AT79" s="84">
        <v>0</v>
      </c>
      <c r="AU79" s="84"/>
      <c r="AV79" s="84"/>
      <c r="AW79" s="84"/>
      <c r="AX79" s="84"/>
      <c r="AY79" s="84"/>
      <c r="AZ79" s="84"/>
      <c r="BA79" s="84"/>
      <c r="BB79" s="84"/>
    </row>
    <row r="80" spans="1:54" x14ac:dyDescent="0.2">
      <c r="A80" s="69" t="s">
        <v>442</v>
      </c>
      <c r="B80" s="69" t="s">
        <v>488</v>
      </c>
      <c r="C80" s="70"/>
      <c r="D80" s="71"/>
      <c r="E80" s="72"/>
      <c r="F80" s="73"/>
      <c r="G80" s="70"/>
      <c r="H80" s="74"/>
      <c r="I80" s="75"/>
      <c r="J80" s="75"/>
      <c r="K80" s="36"/>
      <c r="L80" s="82"/>
      <c r="M80" s="82"/>
      <c r="N80" s="77"/>
      <c r="O80" s="84" t="s">
        <v>501</v>
      </c>
      <c r="P80" s="86">
        <v>44024.03056712963</v>
      </c>
      <c r="Q80" s="84" t="s">
        <v>740</v>
      </c>
      <c r="R80" s="87" t="str">
        <f>HYPERLINK("https://www.youtube.com/watch?v=MHmAZK9TOMk&amp;feature=youtu.be")</f>
        <v>https://www.youtube.com/watch?v=MHmAZK9TOMk&amp;feature=youtu.be</v>
      </c>
      <c r="S80" s="84" t="s">
        <v>757</v>
      </c>
      <c r="T80" s="84" t="s">
        <v>856</v>
      </c>
      <c r="U80" s="84"/>
      <c r="V80" s="87" t="str">
        <f t="shared" si="4"/>
        <v>http://pbs.twimg.com/profile_images/1275228658521669632/ddxuDAf2_normal.jpg</v>
      </c>
      <c r="W80" s="86">
        <v>44024.03056712963</v>
      </c>
      <c r="X80" s="90">
        <v>44024</v>
      </c>
      <c r="Y80" s="92" t="s">
        <v>1234</v>
      </c>
      <c r="Z80" s="87" t="str">
        <f>HYPERLINK("https://twitter.com/amotherinusa/status/1282113449225449472")</f>
        <v>https://twitter.com/amotherinusa/status/1282113449225449472</v>
      </c>
      <c r="AA80" s="84"/>
      <c r="AB80" s="84"/>
      <c r="AC80" s="92" t="s">
        <v>1655</v>
      </c>
      <c r="AD80" s="92" t="s">
        <v>1717</v>
      </c>
      <c r="AE80" s="84" t="b">
        <v>0</v>
      </c>
      <c r="AF80" s="84">
        <v>0</v>
      </c>
      <c r="AG80" s="92" t="s">
        <v>1742</v>
      </c>
      <c r="AH80" s="84" t="b">
        <v>0</v>
      </c>
      <c r="AI80" s="84" t="s">
        <v>1751</v>
      </c>
      <c r="AJ80" s="84"/>
      <c r="AK80" s="92" t="s">
        <v>1724</v>
      </c>
      <c r="AL80" s="84" t="b">
        <v>0</v>
      </c>
      <c r="AM80" s="84">
        <v>1</v>
      </c>
      <c r="AN80" s="92" t="s">
        <v>1724</v>
      </c>
      <c r="AO80" s="84" t="s">
        <v>1766</v>
      </c>
      <c r="AP80" s="84" t="b">
        <v>0</v>
      </c>
      <c r="AQ80" s="92" t="s">
        <v>1717</v>
      </c>
      <c r="AR80" s="84" t="s">
        <v>179</v>
      </c>
      <c r="AS80" s="84">
        <v>0</v>
      </c>
      <c r="AT80" s="84">
        <v>0</v>
      </c>
      <c r="AU80" s="84"/>
      <c r="AV80" s="84"/>
      <c r="AW80" s="84"/>
      <c r="AX80" s="84"/>
      <c r="AY80" s="84"/>
      <c r="AZ80" s="84"/>
      <c r="BA80" s="84"/>
      <c r="BB80" s="84"/>
    </row>
    <row r="81" spans="1:54" x14ac:dyDescent="0.2">
      <c r="A81" s="69" t="s">
        <v>442</v>
      </c>
      <c r="B81" s="69" t="s">
        <v>489</v>
      </c>
      <c r="C81" s="70"/>
      <c r="D81" s="71"/>
      <c r="E81" s="72"/>
      <c r="F81" s="73"/>
      <c r="G81" s="70"/>
      <c r="H81" s="74"/>
      <c r="I81" s="75"/>
      <c r="J81" s="75"/>
      <c r="K81" s="36"/>
      <c r="L81" s="82"/>
      <c r="M81" s="82"/>
      <c r="N81" s="77"/>
      <c r="O81" s="84" t="s">
        <v>503</v>
      </c>
      <c r="P81" s="86">
        <v>44024.03056712963</v>
      </c>
      <c r="Q81" s="84" t="s">
        <v>740</v>
      </c>
      <c r="R81" s="87" t="str">
        <f>HYPERLINK("https://www.youtube.com/watch?v=MHmAZK9TOMk&amp;feature=youtu.be")</f>
        <v>https://www.youtube.com/watch?v=MHmAZK9TOMk&amp;feature=youtu.be</v>
      </c>
      <c r="S81" s="84" t="s">
        <v>757</v>
      </c>
      <c r="T81" s="84" t="s">
        <v>856</v>
      </c>
      <c r="U81" s="84"/>
      <c r="V81" s="87" t="str">
        <f t="shared" si="4"/>
        <v>http://pbs.twimg.com/profile_images/1275228658521669632/ddxuDAf2_normal.jpg</v>
      </c>
      <c r="W81" s="86">
        <v>44024.03056712963</v>
      </c>
      <c r="X81" s="90">
        <v>44024</v>
      </c>
      <c r="Y81" s="92" t="s">
        <v>1234</v>
      </c>
      <c r="Z81" s="87" t="str">
        <f>HYPERLINK("https://twitter.com/amotherinusa/status/1282113449225449472")</f>
        <v>https://twitter.com/amotherinusa/status/1282113449225449472</v>
      </c>
      <c r="AA81" s="84"/>
      <c r="AB81" s="84"/>
      <c r="AC81" s="92" t="s">
        <v>1655</v>
      </c>
      <c r="AD81" s="92" t="s">
        <v>1717</v>
      </c>
      <c r="AE81" s="84" t="b">
        <v>0</v>
      </c>
      <c r="AF81" s="84">
        <v>0</v>
      </c>
      <c r="AG81" s="92" t="s">
        <v>1742</v>
      </c>
      <c r="AH81" s="84" t="b">
        <v>0</v>
      </c>
      <c r="AI81" s="84" t="s">
        <v>1751</v>
      </c>
      <c r="AJ81" s="84"/>
      <c r="AK81" s="92" t="s">
        <v>1724</v>
      </c>
      <c r="AL81" s="84" t="b">
        <v>0</v>
      </c>
      <c r="AM81" s="84">
        <v>1</v>
      </c>
      <c r="AN81" s="92" t="s">
        <v>1724</v>
      </c>
      <c r="AO81" s="84" t="s">
        <v>1766</v>
      </c>
      <c r="AP81" s="84" t="b">
        <v>0</v>
      </c>
      <c r="AQ81" s="92" t="s">
        <v>1717</v>
      </c>
      <c r="AR81" s="84" t="s">
        <v>179</v>
      </c>
      <c r="AS81" s="84">
        <v>0</v>
      </c>
      <c r="AT81" s="84">
        <v>0</v>
      </c>
      <c r="AU81" s="84"/>
      <c r="AV81" s="84"/>
      <c r="AW81" s="84"/>
      <c r="AX81" s="84"/>
      <c r="AY81" s="84"/>
      <c r="AZ81" s="84"/>
      <c r="BA81" s="84"/>
      <c r="BB81" s="84"/>
    </row>
    <row r="82" spans="1:54" x14ac:dyDescent="0.2">
      <c r="A82" s="69" t="s">
        <v>432</v>
      </c>
      <c r="B82" s="69" t="s">
        <v>442</v>
      </c>
      <c r="C82" s="70"/>
      <c r="D82" s="71"/>
      <c r="E82" s="72"/>
      <c r="F82" s="73"/>
      <c r="G82" s="70"/>
      <c r="H82" s="74"/>
      <c r="I82" s="75"/>
      <c r="J82" s="75"/>
      <c r="K82" s="36"/>
      <c r="L82" s="82"/>
      <c r="M82" s="82"/>
      <c r="N82" s="77"/>
      <c r="O82" s="84" t="s">
        <v>500</v>
      </c>
      <c r="P82" s="86">
        <v>44024.030486111114</v>
      </c>
      <c r="Q82" s="84" t="s">
        <v>720</v>
      </c>
      <c r="R82" s="84"/>
      <c r="S82" s="84"/>
      <c r="T82" s="84"/>
      <c r="U82" s="84"/>
      <c r="V82" s="87" t="str">
        <f>HYPERLINK("http://pbs.twimg.com/profile_images/1804263547/mintdotcom_normal.png")</f>
        <v>http://pbs.twimg.com/profile_images/1804263547/mintdotcom_normal.png</v>
      </c>
      <c r="W82" s="86">
        <v>44024.030486111114</v>
      </c>
      <c r="X82" s="90">
        <v>44024</v>
      </c>
      <c r="Y82" s="92" t="s">
        <v>1204</v>
      </c>
      <c r="Z82" s="87" t="str">
        <f>HYPERLINK("https://twitter.com/priceys/status/1282113420813361153")</f>
        <v>https://twitter.com/priceys/status/1282113420813361153</v>
      </c>
      <c r="AA82" s="84"/>
      <c r="AB82" s="84"/>
      <c r="AC82" s="92" t="s">
        <v>1625</v>
      </c>
      <c r="AD82" s="84"/>
      <c r="AE82" s="84" t="b">
        <v>0</v>
      </c>
      <c r="AF82" s="84">
        <v>0</v>
      </c>
      <c r="AG82" s="92" t="s">
        <v>1724</v>
      </c>
      <c r="AH82" s="84" t="b">
        <v>0</v>
      </c>
      <c r="AI82" s="84" t="s">
        <v>1751</v>
      </c>
      <c r="AJ82" s="84"/>
      <c r="AK82" s="92" t="s">
        <v>1724</v>
      </c>
      <c r="AL82" s="84" t="b">
        <v>0</v>
      </c>
      <c r="AM82" s="84">
        <v>8</v>
      </c>
      <c r="AN82" s="92" t="s">
        <v>1699</v>
      </c>
      <c r="AO82" s="84" t="s">
        <v>1766</v>
      </c>
      <c r="AP82" s="84" t="b">
        <v>0</v>
      </c>
      <c r="AQ82" s="92" t="s">
        <v>1699</v>
      </c>
      <c r="AR82" s="84" t="s">
        <v>179</v>
      </c>
      <c r="AS82" s="84">
        <v>0</v>
      </c>
      <c r="AT82" s="84">
        <v>0</v>
      </c>
      <c r="AU82" s="84"/>
      <c r="AV82" s="84"/>
      <c r="AW82" s="84"/>
      <c r="AX82" s="84"/>
      <c r="AY82" s="84"/>
      <c r="AZ82" s="84"/>
      <c r="BA82" s="84"/>
      <c r="BB82" s="84"/>
    </row>
    <row r="83" spans="1:54" x14ac:dyDescent="0.2">
      <c r="A83" s="69" t="s">
        <v>431</v>
      </c>
      <c r="B83" s="69" t="s">
        <v>442</v>
      </c>
      <c r="C83" s="70"/>
      <c r="D83" s="71"/>
      <c r="E83" s="72"/>
      <c r="F83" s="73"/>
      <c r="G83" s="70"/>
      <c r="H83" s="74"/>
      <c r="I83" s="75"/>
      <c r="J83" s="75"/>
      <c r="K83" s="36"/>
      <c r="L83" s="82"/>
      <c r="M83" s="82"/>
      <c r="N83" s="77"/>
      <c r="O83" s="84" t="s">
        <v>500</v>
      </c>
      <c r="P83" s="86">
        <v>44024.030219907407</v>
      </c>
      <c r="Q83" s="84" t="s">
        <v>719</v>
      </c>
      <c r="R83" s="84"/>
      <c r="S83" s="84"/>
      <c r="T83" s="84"/>
      <c r="U83" s="84"/>
      <c r="V83" s="87" t="str">
        <f>HYPERLINK("http://pbs.twimg.com/profile_images/1282132701848494080/R32J5eeB_normal.jpg")</f>
        <v>http://pbs.twimg.com/profile_images/1282132701848494080/R32J5eeB_normal.jpg</v>
      </c>
      <c r="W83" s="86">
        <v>44024.030219907407</v>
      </c>
      <c r="X83" s="90">
        <v>44024</v>
      </c>
      <c r="Y83" s="92" t="s">
        <v>1203</v>
      </c>
      <c r="Z83" s="87" t="str">
        <f>HYPERLINK("https://twitter.com/theworldwillkn1/status/1282113322293354496")</f>
        <v>https://twitter.com/theworldwillkn1/status/1282113322293354496</v>
      </c>
      <c r="AA83" s="84"/>
      <c r="AB83" s="84"/>
      <c r="AC83" s="92" t="s">
        <v>1624</v>
      </c>
      <c r="AD83" s="84"/>
      <c r="AE83" s="84" t="b">
        <v>0</v>
      </c>
      <c r="AF83" s="84">
        <v>0</v>
      </c>
      <c r="AG83" s="92" t="s">
        <v>1724</v>
      </c>
      <c r="AH83" s="84" t="b">
        <v>0</v>
      </c>
      <c r="AI83" s="84" t="s">
        <v>1751</v>
      </c>
      <c r="AJ83" s="84"/>
      <c r="AK83" s="92" t="s">
        <v>1724</v>
      </c>
      <c r="AL83" s="84" t="b">
        <v>0</v>
      </c>
      <c r="AM83" s="84">
        <v>2</v>
      </c>
      <c r="AN83" s="92" t="s">
        <v>1701</v>
      </c>
      <c r="AO83" s="84" t="s">
        <v>1763</v>
      </c>
      <c r="AP83" s="84" t="b">
        <v>0</v>
      </c>
      <c r="AQ83" s="92" t="s">
        <v>1701</v>
      </c>
      <c r="AR83" s="84" t="s">
        <v>179</v>
      </c>
      <c r="AS83" s="84">
        <v>0</v>
      </c>
      <c r="AT83" s="84">
        <v>0</v>
      </c>
      <c r="AU83" s="84"/>
      <c r="AV83" s="84"/>
      <c r="AW83" s="84"/>
      <c r="AX83" s="84"/>
      <c r="AY83" s="84"/>
      <c r="AZ83" s="84"/>
      <c r="BA83" s="84"/>
      <c r="BB83" s="84"/>
    </row>
    <row r="84" spans="1:54" x14ac:dyDescent="0.2">
      <c r="A84" s="69" t="s">
        <v>442</v>
      </c>
      <c r="B84" s="69" t="s">
        <v>442</v>
      </c>
      <c r="C84" s="70"/>
      <c r="D84" s="71"/>
      <c r="E84" s="72"/>
      <c r="F84" s="73"/>
      <c r="G84" s="70"/>
      <c r="H84" s="74"/>
      <c r="I84" s="75"/>
      <c r="J84" s="75"/>
      <c r="K84" s="36"/>
      <c r="L84" s="82"/>
      <c r="M84" s="82"/>
      <c r="N84" s="77"/>
      <c r="O84" s="84" t="s">
        <v>500</v>
      </c>
      <c r="P84" s="86">
        <v>44024.030115740738</v>
      </c>
      <c r="Q84" s="84" t="s">
        <v>719</v>
      </c>
      <c r="R84" s="84"/>
      <c r="S84" s="84"/>
      <c r="T84" s="84"/>
      <c r="U84" s="84"/>
      <c r="V84" s="87" t="str">
        <f>HYPERLINK("http://pbs.twimg.com/profile_images/1275228658521669632/ddxuDAf2_normal.jpg")</f>
        <v>http://pbs.twimg.com/profile_images/1275228658521669632/ddxuDAf2_normal.jpg</v>
      </c>
      <c r="W84" s="86">
        <v>44024.030115740738</v>
      </c>
      <c r="X84" s="90">
        <v>44024</v>
      </c>
      <c r="Y84" s="92" t="s">
        <v>1279</v>
      </c>
      <c r="Z84" s="87" t="str">
        <f>HYPERLINK("https://twitter.com/amotherinusa/status/1282113287790882817")</f>
        <v>https://twitter.com/amotherinusa/status/1282113287790882817</v>
      </c>
      <c r="AA84" s="84"/>
      <c r="AB84" s="84"/>
      <c r="AC84" s="92" t="s">
        <v>1702</v>
      </c>
      <c r="AD84" s="84"/>
      <c r="AE84" s="84" t="b">
        <v>0</v>
      </c>
      <c r="AF84" s="84">
        <v>0</v>
      </c>
      <c r="AG84" s="92" t="s">
        <v>1724</v>
      </c>
      <c r="AH84" s="84" t="b">
        <v>0</v>
      </c>
      <c r="AI84" s="84" t="s">
        <v>1751</v>
      </c>
      <c r="AJ84" s="84"/>
      <c r="AK84" s="92" t="s">
        <v>1724</v>
      </c>
      <c r="AL84" s="84" t="b">
        <v>0</v>
      </c>
      <c r="AM84" s="84">
        <v>2</v>
      </c>
      <c r="AN84" s="92" t="s">
        <v>1701</v>
      </c>
      <c r="AO84" s="84" t="s">
        <v>1766</v>
      </c>
      <c r="AP84" s="84" t="b">
        <v>0</v>
      </c>
      <c r="AQ84" s="92" t="s">
        <v>1701</v>
      </c>
      <c r="AR84" s="84" t="s">
        <v>179</v>
      </c>
      <c r="AS84" s="84">
        <v>0</v>
      </c>
      <c r="AT84" s="84">
        <v>0</v>
      </c>
      <c r="AU84" s="84"/>
      <c r="AV84" s="84"/>
      <c r="AW84" s="84"/>
      <c r="AX84" s="84"/>
      <c r="AY84" s="84"/>
      <c r="AZ84" s="84"/>
      <c r="BA84" s="84"/>
      <c r="BB84" s="84"/>
    </row>
    <row r="85" spans="1:54" x14ac:dyDescent="0.2">
      <c r="A85" s="69" t="s">
        <v>442</v>
      </c>
      <c r="B85" s="69" t="s">
        <v>442</v>
      </c>
      <c r="C85" s="70"/>
      <c r="D85" s="71"/>
      <c r="E85" s="72"/>
      <c r="F85" s="73"/>
      <c r="G85" s="70"/>
      <c r="H85" s="74"/>
      <c r="I85" s="75"/>
      <c r="J85" s="75"/>
      <c r="K85" s="36"/>
      <c r="L85" s="82"/>
      <c r="M85" s="82"/>
      <c r="N85" s="77"/>
      <c r="O85" s="84" t="s">
        <v>179</v>
      </c>
      <c r="P85" s="86">
        <v>44024.030069444445</v>
      </c>
      <c r="Q85" s="84" t="s">
        <v>719</v>
      </c>
      <c r="R85" s="87" t="str">
        <f>HYPERLINK("https://www.youtube.com/watch?v=MHmAZK9TOMk&amp;feature=youtu.be")</f>
        <v>https://www.youtube.com/watch?v=MHmAZK9TOMk&amp;feature=youtu.be</v>
      </c>
      <c r="S85" s="84" t="s">
        <v>757</v>
      </c>
      <c r="T85" s="84" t="s">
        <v>856</v>
      </c>
      <c r="U85" s="84"/>
      <c r="V85" s="87" t="str">
        <f>HYPERLINK("http://pbs.twimg.com/profile_images/1275228658521669632/ddxuDAf2_normal.jpg")</f>
        <v>http://pbs.twimg.com/profile_images/1275228658521669632/ddxuDAf2_normal.jpg</v>
      </c>
      <c r="W85" s="86">
        <v>44024.030069444445</v>
      </c>
      <c r="X85" s="90">
        <v>44024</v>
      </c>
      <c r="Y85" s="92" t="s">
        <v>1278</v>
      </c>
      <c r="Z85" s="87" t="str">
        <f>HYPERLINK("https://twitter.com/amotherinusa/status/1282113268929060865")</f>
        <v>https://twitter.com/amotherinusa/status/1282113268929060865</v>
      </c>
      <c r="AA85" s="84"/>
      <c r="AB85" s="84"/>
      <c r="AC85" s="92" t="s">
        <v>1701</v>
      </c>
      <c r="AD85" s="84"/>
      <c r="AE85" s="84" t="b">
        <v>0</v>
      </c>
      <c r="AF85" s="84">
        <v>1</v>
      </c>
      <c r="AG85" s="92" t="s">
        <v>1724</v>
      </c>
      <c r="AH85" s="84" t="b">
        <v>0</v>
      </c>
      <c r="AI85" s="84" t="s">
        <v>1751</v>
      </c>
      <c r="AJ85" s="84"/>
      <c r="AK85" s="92" t="s">
        <v>1724</v>
      </c>
      <c r="AL85" s="84" t="b">
        <v>0</v>
      </c>
      <c r="AM85" s="84">
        <v>2</v>
      </c>
      <c r="AN85" s="92" t="s">
        <v>1724</v>
      </c>
      <c r="AO85" s="84" t="s">
        <v>1766</v>
      </c>
      <c r="AP85" s="84" t="b">
        <v>0</v>
      </c>
      <c r="AQ85" s="92" t="s">
        <v>1701</v>
      </c>
      <c r="AR85" s="84" t="s">
        <v>179</v>
      </c>
      <c r="AS85" s="84">
        <v>0</v>
      </c>
      <c r="AT85" s="84">
        <v>0</v>
      </c>
      <c r="AU85" s="84"/>
      <c r="AV85" s="84"/>
      <c r="AW85" s="84"/>
      <c r="AX85" s="84"/>
      <c r="AY85" s="84"/>
      <c r="AZ85" s="84"/>
      <c r="BA85" s="84"/>
      <c r="BB85" s="84"/>
    </row>
    <row r="86" spans="1:54" x14ac:dyDescent="0.2">
      <c r="A86" s="69" t="s">
        <v>442</v>
      </c>
      <c r="B86" s="69" t="s">
        <v>442</v>
      </c>
      <c r="C86" s="70"/>
      <c r="D86" s="71"/>
      <c r="E86" s="72"/>
      <c r="F86" s="73"/>
      <c r="G86" s="70"/>
      <c r="H86" s="74"/>
      <c r="I86" s="75"/>
      <c r="J86" s="75"/>
      <c r="K86" s="36"/>
      <c r="L86" s="82"/>
      <c r="M86" s="82"/>
      <c r="N86" s="77"/>
      <c r="O86" s="84" t="s">
        <v>500</v>
      </c>
      <c r="P86" s="86">
        <v>44024.029594907406</v>
      </c>
      <c r="Q86" s="84" t="s">
        <v>720</v>
      </c>
      <c r="R86" s="84"/>
      <c r="S86" s="84"/>
      <c r="T86" s="84"/>
      <c r="U86" s="84"/>
      <c r="V86" s="87" t="str">
        <f>HYPERLINK("http://pbs.twimg.com/profile_images/1275228658521669632/ddxuDAf2_normal.jpg")</f>
        <v>http://pbs.twimg.com/profile_images/1275228658521669632/ddxuDAf2_normal.jpg</v>
      </c>
      <c r="W86" s="86">
        <v>44024.029594907406</v>
      </c>
      <c r="X86" s="90">
        <v>44024</v>
      </c>
      <c r="Y86" s="92" t="s">
        <v>1277</v>
      </c>
      <c r="Z86" s="87" t="str">
        <f>HYPERLINK("https://twitter.com/amotherinusa/status/1282113095117074432")</f>
        <v>https://twitter.com/amotherinusa/status/1282113095117074432</v>
      </c>
      <c r="AA86" s="84"/>
      <c r="AB86" s="84"/>
      <c r="AC86" s="92" t="s">
        <v>1700</v>
      </c>
      <c r="AD86" s="84"/>
      <c r="AE86" s="84" t="b">
        <v>0</v>
      </c>
      <c r="AF86" s="84">
        <v>0</v>
      </c>
      <c r="AG86" s="92" t="s">
        <v>1724</v>
      </c>
      <c r="AH86" s="84" t="b">
        <v>0</v>
      </c>
      <c r="AI86" s="84" t="s">
        <v>1751</v>
      </c>
      <c r="AJ86" s="84"/>
      <c r="AK86" s="92" t="s">
        <v>1724</v>
      </c>
      <c r="AL86" s="84" t="b">
        <v>0</v>
      </c>
      <c r="AM86" s="84">
        <v>8</v>
      </c>
      <c r="AN86" s="92" t="s">
        <v>1699</v>
      </c>
      <c r="AO86" s="84" t="s">
        <v>1766</v>
      </c>
      <c r="AP86" s="84" t="b">
        <v>0</v>
      </c>
      <c r="AQ86" s="92" t="s">
        <v>1699</v>
      </c>
      <c r="AR86" s="84" t="s">
        <v>179</v>
      </c>
      <c r="AS86" s="84">
        <v>0</v>
      </c>
      <c r="AT86" s="84">
        <v>0</v>
      </c>
      <c r="AU86" s="84"/>
      <c r="AV86" s="84"/>
      <c r="AW86" s="84"/>
      <c r="AX86" s="84"/>
      <c r="AY86" s="84"/>
      <c r="AZ86" s="84"/>
      <c r="BA86" s="84"/>
      <c r="BB86" s="84"/>
    </row>
    <row r="87" spans="1:54" x14ac:dyDescent="0.2">
      <c r="A87" s="69" t="s">
        <v>442</v>
      </c>
      <c r="B87" s="69" t="s">
        <v>442</v>
      </c>
      <c r="C87" s="70"/>
      <c r="D87" s="71"/>
      <c r="E87" s="72"/>
      <c r="F87" s="73"/>
      <c r="G87" s="70"/>
      <c r="H87" s="74"/>
      <c r="I87" s="75"/>
      <c r="J87" s="75"/>
      <c r="K87" s="36"/>
      <c r="L87" s="82"/>
      <c r="M87" s="82"/>
      <c r="N87" s="77"/>
      <c r="O87" s="84" t="s">
        <v>179</v>
      </c>
      <c r="P87" s="86">
        <v>44024.029050925928</v>
      </c>
      <c r="Q87" s="84" t="s">
        <v>720</v>
      </c>
      <c r="R87" s="87" t="str">
        <f>HYPERLINK("https://www.youtube.com/watch?v=MHmAZK9TOMk&amp;feature=youtu.be")</f>
        <v>https://www.youtube.com/watch?v=MHmAZK9TOMk&amp;feature=youtu.be</v>
      </c>
      <c r="S87" s="84" t="s">
        <v>757</v>
      </c>
      <c r="T87" s="84" t="s">
        <v>856</v>
      </c>
      <c r="U87" s="84"/>
      <c r="V87" s="87" t="str">
        <f>HYPERLINK("http://pbs.twimg.com/profile_images/1275228658521669632/ddxuDAf2_normal.jpg")</f>
        <v>http://pbs.twimg.com/profile_images/1275228658521669632/ddxuDAf2_normal.jpg</v>
      </c>
      <c r="W87" s="86">
        <v>44024.029050925928</v>
      </c>
      <c r="X87" s="90">
        <v>44024</v>
      </c>
      <c r="Y87" s="92" t="s">
        <v>1276</v>
      </c>
      <c r="Z87" s="87" t="str">
        <f>HYPERLINK("https://twitter.com/amotherinusa/status/1282112901394776064")</f>
        <v>https://twitter.com/amotherinusa/status/1282112901394776064</v>
      </c>
      <c r="AA87" s="84"/>
      <c r="AB87" s="84"/>
      <c r="AC87" s="92" t="s">
        <v>1699</v>
      </c>
      <c r="AD87" s="84"/>
      <c r="AE87" s="84" t="b">
        <v>0</v>
      </c>
      <c r="AF87" s="84">
        <v>6</v>
      </c>
      <c r="AG87" s="92" t="s">
        <v>1724</v>
      </c>
      <c r="AH87" s="84" t="b">
        <v>0</v>
      </c>
      <c r="AI87" s="84" t="s">
        <v>1751</v>
      </c>
      <c r="AJ87" s="84"/>
      <c r="AK87" s="92" t="s">
        <v>1724</v>
      </c>
      <c r="AL87" s="84" t="b">
        <v>0</v>
      </c>
      <c r="AM87" s="84">
        <v>8</v>
      </c>
      <c r="AN87" s="92" t="s">
        <v>1724</v>
      </c>
      <c r="AO87" s="84" t="s">
        <v>1766</v>
      </c>
      <c r="AP87" s="84" t="b">
        <v>0</v>
      </c>
      <c r="AQ87" s="92" t="s">
        <v>1699</v>
      </c>
      <c r="AR87" s="84" t="s">
        <v>179</v>
      </c>
      <c r="AS87" s="84">
        <v>0</v>
      </c>
      <c r="AT87" s="84">
        <v>0</v>
      </c>
      <c r="AU87" s="84"/>
      <c r="AV87" s="84"/>
      <c r="AW87" s="84"/>
      <c r="AX87" s="84"/>
      <c r="AY87" s="84"/>
      <c r="AZ87" s="84"/>
      <c r="BA87" s="84"/>
      <c r="BB87" s="84"/>
    </row>
    <row r="88" spans="1:54" x14ac:dyDescent="0.2">
      <c r="A88" s="69" t="s">
        <v>442</v>
      </c>
      <c r="B88" s="69" t="s">
        <v>442</v>
      </c>
      <c r="C88" s="70"/>
      <c r="D88" s="71"/>
      <c r="E88" s="72"/>
      <c r="F88" s="73"/>
      <c r="G88" s="70"/>
      <c r="H88" s="74"/>
      <c r="I88" s="75"/>
      <c r="J88" s="75"/>
      <c r="K88" s="36"/>
      <c r="L88" s="82"/>
      <c r="M88" s="82"/>
      <c r="N88" s="77"/>
      <c r="O88" s="84" t="s">
        <v>179</v>
      </c>
      <c r="P88" s="86">
        <v>44024.027314814812</v>
      </c>
      <c r="Q88" s="84" t="s">
        <v>752</v>
      </c>
      <c r="R88" s="84"/>
      <c r="S88" s="84"/>
      <c r="T88" s="84" t="s">
        <v>856</v>
      </c>
      <c r="U88" s="84"/>
      <c r="V88" s="87" t="str">
        <f>HYPERLINK("http://pbs.twimg.com/profile_images/1275228658521669632/ddxuDAf2_normal.jpg")</f>
        <v>http://pbs.twimg.com/profile_images/1275228658521669632/ddxuDAf2_normal.jpg</v>
      </c>
      <c r="W88" s="86">
        <v>44024.027314814812</v>
      </c>
      <c r="X88" s="90">
        <v>44024</v>
      </c>
      <c r="Y88" s="92" t="s">
        <v>1275</v>
      </c>
      <c r="Z88" s="87" t="str">
        <f>HYPERLINK("https://twitter.com/amotherinusa/status/1282112269074104320")</f>
        <v>https://twitter.com/amotherinusa/status/1282112269074104320</v>
      </c>
      <c r="AA88" s="84"/>
      <c r="AB88" s="84"/>
      <c r="AC88" s="92" t="s">
        <v>1698</v>
      </c>
      <c r="AD88" s="84"/>
      <c r="AE88" s="84" t="b">
        <v>0</v>
      </c>
      <c r="AF88" s="84">
        <v>2</v>
      </c>
      <c r="AG88" s="92" t="s">
        <v>1724</v>
      </c>
      <c r="AH88" s="84" t="b">
        <v>0</v>
      </c>
      <c r="AI88" s="84" t="s">
        <v>1751</v>
      </c>
      <c r="AJ88" s="84"/>
      <c r="AK88" s="92" t="s">
        <v>1724</v>
      </c>
      <c r="AL88" s="84" t="b">
        <v>0</v>
      </c>
      <c r="AM88" s="84">
        <v>0</v>
      </c>
      <c r="AN88" s="92" t="s">
        <v>1724</v>
      </c>
      <c r="AO88" s="84" t="s">
        <v>1766</v>
      </c>
      <c r="AP88" s="84" t="b">
        <v>0</v>
      </c>
      <c r="AQ88" s="92" t="s">
        <v>1698</v>
      </c>
      <c r="AR88" s="84" t="s">
        <v>179</v>
      </c>
      <c r="AS88" s="84">
        <v>0</v>
      </c>
      <c r="AT88" s="84">
        <v>0</v>
      </c>
      <c r="AU88" s="84"/>
      <c r="AV88" s="84"/>
      <c r="AW88" s="84"/>
      <c r="AX88" s="84"/>
      <c r="AY88" s="84"/>
      <c r="AZ88" s="84"/>
      <c r="BA88" s="84"/>
      <c r="BB88" s="84"/>
    </row>
    <row r="89" spans="1:54" x14ac:dyDescent="0.2">
      <c r="A89" s="69" t="s">
        <v>430</v>
      </c>
      <c r="B89" s="69" t="s">
        <v>442</v>
      </c>
      <c r="C89" s="70"/>
      <c r="D89" s="71"/>
      <c r="E89" s="72"/>
      <c r="F89" s="73"/>
      <c r="G89" s="70"/>
      <c r="H89" s="74"/>
      <c r="I89" s="75"/>
      <c r="J89" s="75"/>
      <c r="K89" s="36"/>
      <c r="L89" s="82"/>
      <c r="M89" s="82"/>
      <c r="N89" s="77"/>
      <c r="O89" s="84" t="s">
        <v>500</v>
      </c>
      <c r="P89" s="86">
        <v>44024.024560185186</v>
      </c>
      <c r="Q89" s="84" t="s">
        <v>718</v>
      </c>
      <c r="R89" s="84"/>
      <c r="S89" s="84"/>
      <c r="T89" s="84"/>
      <c r="U89" s="84"/>
      <c r="V89" s="87" t="str">
        <f>HYPERLINK("http://pbs.twimg.com/profile_images/1261097713862610944/gvlDMd9g_normal.jpg")</f>
        <v>http://pbs.twimg.com/profile_images/1261097713862610944/gvlDMd9g_normal.jpg</v>
      </c>
      <c r="W89" s="86">
        <v>44024.024560185186</v>
      </c>
      <c r="X89" s="90">
        <v>44024</v>
      </c>
      <c r="Y89" s="92" t="s">
        <v>1202</v>
      </c>
      <c r="Z89" s="87" t="str">
        <f>HYPERLINK("https://twitter.com/jadedl/status/1282111274428411904")</f>
        <v>https://twitter.com/jadedl/status/1282111274428411904</v>
      </c>
      <c r="AA89" s="84"/>
      <c r="AB89" s="84"/>
      <c r="AC89" s="92" t="s">
        <v>1623</v>
      </c>
      <c r="AD89" s="84"/>
      <c r="AE89" s="84" t="b">
        <v>0</v>
      </c>
      <c r="AF89" s="84">
        <v>0</v>
      </c>
      <c r="AG89" s="92" t="s">
        <v>1724</v>
      </c>
      <c r="AH89" s="84" t="b">
        <v>0</v>
      </c>
      <c r="AI89" s="84" t="s">
        <v>1751</v>
      </c>
      <c r="AJ89" s="84"/>
      <c r="AK89" s="92" t="s">
        <v>1724</v>
      </c>
      <c r="AL89" s="84" t="b">
        <v>0</v>
      </c>
      <c r="AM89" s="84">
        <v>5</v>
      </c>
      <c r="AN89" s="92" t="s">
        <v>1695</v>
      </c>
      <c r="AO89" s="84" t="s">
        <v>1766</v>
      </c>
      <c r="AP89" s="84" t="b">
        <v>0</v>
      </c>
      <c r="AQ89" s="92" t="s">
        <v>1695</v>
      </c>
      <c r="AR89" s="84" t="s">
        <v>179</v>
      </c>
      <c r="AS89" s="84">
        <v>0</v>
      </c>
      <c r="AT89" s="84">
        <v>0</v>
      </c>
      <c r="AU89" s="84"/>
      <c r="AV89" s="84"/>
      <c r="AW89" s="84"/>
      <c r="AX89" s="84"/>
      <c r="AY89" s="84"/>
      <c r="AZ89" s="84"/>
      <c r="BA89" s="84"/>
      <c r="BB89" s="84"/>
    </row>
    <row r="90" spans="1:54" x14ac:dyDescent="0.2">
      <c r="A90" s="69" t="s">
        <v>433</v>
      </c>
      <c r="B90" s="69" t="s">
        <v>442</v>
      </c>
      <c r="C90" s="70"/>
      <c r="D90" s="71"/>
      <c r="E90" s="72"/>
      <c r="F90" s="73"/>
      <c r="G90" s="70"/>
      <c r="H90" s="74"/>
      <c r="I90" s="75"/>
      <c r="J90" s="75"/>
      <c r="K90" s="36"/>
      <c r="L90" s="82"/>
      <c r="M90" s="82"/>
      <c r="N90" s="77"/>
      <c r="O90" s="84" t="s">
        <v>500</v>
      </c>
      <c r="P90" s="86">
        <v>44024.022731481484</v>
      </c>
      <c r="Q90" s="84" t="s">
        <v>718</v>
      </c>
      <c r="R90" s="84"/>
      <c r="S90" s="84"/>
      <c r="T90" s="84"/>
      <c r="U90" s="84"/>
      <c r="V90" s="87" t="str">
        <f>HYPERLINK("http://pbs.twimg.com/profile_images/1281718729236242433/9fUBuRZx_normal.jpg")</f>
        <v>http://pbs.twimg.com/profile_images/1281718729236242433/9fUBuRZx_normal.jpg</v>
      </c>
      <c r="W90" s="86">
        <v>44024.022731481484</v>
      </c>
      <c r="X90" s="90">
        <v>44024</v>
      </c>
      <c r="Y90" s="92" t="s">
        <v>1206</v>
      </c>
      <c r="Z90" s="87" t="str">
        <f>HYPERLINK("https://twitter.com/ghettolion17/status/1282110611757957128")</f>
        <v>https://twitter.com/ghettolion17/status/1282110611757957128</v>
      </c>
      <c r="AA90" s="84"/>
      <c r="AB90" s="84"/>
      <c r="AC90" s="92" t="s">
        <v>1627</v>
      </c>
      <c r="AD90" s="84"/>
      <c r="AE90" s="84" t="b">
        <v>0</v>
      </c>
      <c r="AF90" s="84">
        <v>0</v>
      </c>
      <c r="AG90" s="92" t="s">
        <v>1724</v>
      </c>
      <c r="AH90" s="84" t="b">
        <v>0</v>
      </c>
      <c r="AI90" s="84" t="s">
        <v>1751</v>
      </c>
      <c r="AJ90" s="84"/>
      <c r="AK90" s="92" t="s">
        <v>1724</v>
      </c>
      <c r="AL90" s="84" t="b">
        <v>0</v>
      </c>
      <c r="AM90" s="84">
        <v>5</v>
      </c>
      <c r="AN90" s="92" t="s">
        <v>1695</v>
      </c>
      <c r="AO90" s="84" t="s">
        <v>1763</v>
      </c>
      <c r="AP90" s="84" t="b">
        <v>0</v>
      </c>
      <c r="AQ90" s="92" t="s">
        <v>1695</v>
      </c>
      <c r="AR90" s="84" t="s">
        <v>179</v>
      </c>
      <c r="AS90" s="84">
        <v>0</v>
      </c>
      <c r="AT90" s="84">
        <v>0</v>
      </c>
      <c r="AU90" s="84"/>
      <c r="AV90" s="84"/>
      <c r="AW90" s="84"/>
      <c r="AX90" s="84"/>
      <c r="AY90" s="84"/>
      <c r="AZ90" s="84"/>
      <c r="BA90" s="84"/>
      <c r="BB90" s="84"/>
    </row>
    <row r="91" spans="1:54" x14ac:dyDescent="0.2">
      <c r="A91" s="69" t="s">
        <v>429</v>
      </c>
      <c r="B91" s="69" t="s">
        <v>456</v>
      </c>
      <c r="C91" s="70"/>
      <c r="D91" s="71"/>
      <c r="E91" s="72"/>
      <c r="F91" s="73"/>
      <c r="G91" s="70"/>
      <c r="H91" s="74"/>
      <c r="I91" s="75"/>
      <c r="J91" s="75"/>
      <c r="K91" s="36"/>
      <c r="L91" s="82"/>
      <c r="M91" s="82"/>
      <c r="N91" s="77"/>
      <c r="O91" s="84" t="s">
        <v>500</v>
      </c>
      <c r="P91" s="86">
        <v>44024.018750000003</v>
      </c>
      <c r="Q91" s="84" t="s">
        <v>657</v>
      </c>
      <c r="R91" s="84"/>
      <c r="S91" s="84"/>
      <c r="T91" s="84" t="s">
        <v>834</v>
      </c>
      <c r="U91" s="84"/>
      <c r="V91" s="87" t="str">
        <f>HYPERLINK("http://pbs.twimg.com/profile_images/792250197833310208/VaQfOJVB_normal.jpg")</f>
        <v>http://pbs.twimg.com/profile_images/792250197833310208/VaQfOJVB_normal.jpg</v>
      </c>
      <c r="W91" s="86">
        <v>44024.018750000003</v>
      </c>
      <c r="X91" s="90">
        <v>44024</v>
      </c>
      <c r="Y91" s="92" t="s">
        <v>1201</v>
      </c>
      <c r="Z91" s="87" t="str">
        <f>HYPERLINK("https://twitter.com/kidwithoneshoe/status/1282109168590020608")</f>
        <v>https://twitter.com/kidwithoneshoe/status/1282109168590020608</v>
      </c>
      <c r="AA91" s="84"/>
      <c r="AB91" s="84"/>
      <c r="AC91" s="92" t="s">
        <v>1622</v>
      </c>
      <c r="AD91" s="84"/>
      <c r="AE91" s="84" t="b">
        <v>0</v>
      </c>
      <c r="AF91" s="84">
        <v>0</v>
      </c>
      <c r="AG91" s="92" t="s">
        <v>1724</v>
      </c>
      <c r="AH91" s="84" t="b">
        <v>0</v>
      </c>
      <c r="AI91" s="84" t="s">
        <v>1751</v>
      </c>
      <c r="AJ91" s="84"/>
      <c r="AK91" s="92" t="s">
        <v>1724</v>
      </c>
      <c r="AL91" s="84" t="b">
        <v>0</v>
      </c>
      <c r="AM91" s="84">
        <v>51</v>
      </c>
      <c r="AN91" s="92" t="s">
        <v>1680</v>
      </c>
      <c r="AO91" s="84" t="s">
        <v>1763</v>
      </c>
      <c r="AP91" s="84" t="b">
        <v>0</v>
      </c>
      <c r="AQ91" s="92" t="s">
        <v>1680</v>
      </c>
      <c r="AR91" s="84" t="s">
        <v>179</v>
      </c>
      <c r="AS91" s="84">
        <v>0</v>
      </c>
      <c r="AT91" s="84">
        <v>0</v>
      </c>
      <c r="AU91" s="84"/>
      <c r="AV91" s="84"/>
      <c r="AW91" s="84"/>
      <c r="AX91" s="84"/>
      <c r="AY91" s="84"/>
      <c r="AZ91" s="84"/>
      <c r="BA91" s="84"/>
      <c r="BB91" s="84"/>
    </row>
    <row r="92" spans="1:54" x14ac:dyDescent="0.2">
      <c r="A92" s="69" t="s">
        <v>442</v>
      </c>
      <c r="B92" s="69" t="s">
        <v>442</v>
      </c>
      <c r="C92" s="70"/>
      <c r="D92" s="71"/>
      <c r="E92" s="72"/>
      <c r="F92" s="73"/>
      <c r="G92" s="70"/>
      <c r="H92" s="74"/>
      <c r="I92" s="75"/>
      <c r="J92" s="75"/>
      <c r="K92" s="36"/>
      <c r="L92" s="82"/>
      <c r="M92" s="82"/>
      <c r="N92" s="77"/>
      <c r="O92" s="84" t="s">
        <v>179</v>
      </c>
      <c r="P92" s="86">
        <v>44024.016886574071</v>
      </c>
      <c r="Q92" s="84" t="s">
        <v>751</v>
      </c>
      <c r="R92" s="84"/>
      <c r="S92" s="84"/>
      <c r="T92" s="84" t="s">
        <v>856</v>
      </c>
      <c r="U92" s="87" t="str">
        <f>HYPERLINK("https://pbs.twimg.com/media/Ecr21m5UcAAro8h.jpg")</f>
        <v>https://pbs.twimg.com/media/Ecr21m5UcAAro8h.jpg</v>
      </c>
      <c r="V92" s="87" t="str">
        <f>HYPERLINK("https://pbs.twimg.com/media/Ecr21m5UcAAro8h.jpg")</f>
        <v>https://pbs.twimg.com/media/Ecr21m5UcAAro8h.jpg</v>
      </c>
      <c r="W92" s="86">
        <v>44024.016886574071</v>
      </c>
      <c r="X92" s="90">
        <v>44024</v>
      </c>
      <c r="Y92" s="92" t="s">
        <v>1274</v>
      </c>
      <c r="Z92" s="87" t="str">
        <f>HYPERLINK("https://twitter.com/amotherinusa/status/1282108491449036800")</f>
        <v>https://twitter.com/amotherinusa/status/1282108491449036800</v>
      </c>
      <c r="AA92" s="84"/>
      <c r="AB92" s="84"/>
      <c r="AC92" s="92" t="s">
        <v>1697</v>
      </c>
      <c r="AD92" s="84"/>
      <c r="AE92" s="84" t="b">
        <v>0</v>
      </c>
      <c r="AF92" s="84">
        <v>0</v>
      </c>
      <c r="AG92" s="92" t="s">
        <v>1724</v>
      </c>
      <c r="AH92" s="84" t="b">
        <v>0</v>
      </c>
      <c r="AI92" s="84" t="s">
        <v>1751</v>
      </c>
      <c r="AJ92" s="84"/>
      <c r="AK92" s="92" t="s">
        <v>1724</v>
      </c>
      <c r="AL92" s="84" t="b">
        <v>0</v>
      </c>
      <c r="AM92" s="84">
        <v>0</v>
      </c>
      <c r="AN92" s="92" t="s">
        <v>1724</v>
      </c>
      <c r="AO92" s="84" t="s">
        <v>1766</v>
      </c>
      <c r="AP92" s="84" t="b">
        <v>0</v>
      </c>
      <c r="AQ92" s="92" t="s">
        <v>1697</v>
      </c>
      <c r="AR92" s="84" t="s">
        <v>179</v>
      </c>
      <c r="AS92" s="84">
        <v>0</v>
      </c>
      <c r="AT92" s="84">
        <v>0</v>
      </c>
      <c r="AU92" s="84"/>
      <c r="AV92" s="84"/>
      <c r="AW92" s="84"/>
      <c r="AX92" s="84"/>
      <c r="AY92" s="84"/>
      <c r="AZ92" s="84"/>
      <c r="BA92" s="84"/>
      <c r="BB92" s="84"/>
    </row>
    <row r="93" spans="1:54" x14ac:dyDescent="0.2">
      <c r="A93" s="69" t="s">
        <v>442</v>
      </c>
      <c r="B93" s="69" t="s">
        <v>442</v>
      </c>
      <c r="C93" s="70"/>
      <c r="D93" s="71"/>
      <c r="E93" s="72"/>
      <c r="F93" s="73"/>
      <c r="G93" s="70"/>
      <c r="H93" s="74"/>
      <c r="I93" s="75"/>
      <c r="J93" s="75"/>
      <c r="K93" s="36"/>
      <c r="L93" s="82"/>
      <c r="M93" s="82"/>
      <c r="N93" s="77"/>
      <c r="O93" s="84" t="s">
        <v>500</v>
      </c>
      <c r="P93" s="86">
        <v>44024.016412037039</v>
      </c>
      <c r="Q93" s="84" t="s">
        <v>718</v>
      </c>
      <c r="R93" s="84"/>
      <c r="S93" s="84"/>
      <c r="T93" s="84"/>
      <c r="U93" s="84"/>
      <c r="V93" s="87" t="str">
        <f>HYPERLINK("http://pbs.twimg.com/profile_images/1275228658521669632/ddxuDAf2_normal.jpg")</f>
        <v>http://pbs.twimg.com/profile_images/1275228658521669632/ddxuDAf2_normal.jpg</v>
      </c>
      <c r="W93" s="86">
        <v>44024.016412037039</v>
      </c>
      <c r="X93" s="90">
        <v>44024</v>
      </c>
      <c r="Y93" s="92" t="s">
        <v>1273</v>
      </c>
      <c r="Z93" s="87" t="str">
        <f>HYPERLINK("https://twitter.com/amotherinusa/status/1282108318014517248")</f>
        <v>https://twitter.com/amotherinusa/status/1282108318014517248</v>
      </c>
      <c r="AA93" s="84"/>
      <c r="AB93" s="84"/>
      <c r="AC93" s="92" t="s">
        <v>1696</v>
      </c>
      <c r="AD93" s="84"/>
      <c r="AE93" s="84" t="b">
        <v>0</v>
      </c>
      <c r="AF93" s="84">
        <v>0</v>
      </c>
      <c r="AG93" s="92" t="s">
        <v>1724</v>
      </c>
      <c r="AH93" s="84" t="b">
        <v>0</v>
      </c>
      <c r="AI93" s="84" t="s">
        <v>1751</v>
      </c>
      <c r="AJ93" s="84"/>
      <c r="AK93" s="92" t="s">
        <v>1724</v>
      </c>
      <c r="AL93" s="84" t="b">
        <v>0</v>
      </c>
      <c r="AM93" s="84">
        <v>5</v>
      </c>
      <c r="AN93" s="92" t="s">
        <v>1695</v>
      </c>
      <c r="AO93" s="84" t="s">
        <v>1766</v>
      </c>
      <c r="AP93" s="84" t="b">
        <v>0</v>
      </c>
      <c r="AQ93" s="92" t="s">
        <v>1695</v>
      </c>
      <c r="AR93" s="84" t="s">
        <v>179</v>
      </c>
      <c r="AS93" s="84">
        <v>0</v>
      </c>
      <c r="AT93" s="84">
        <v>0</v>
      </c>
      <c r="AU93" s="84"/>
      <c r="AV93" s="84"/>
      <c r="AW93" s="84"/>
      <c r="AX93" s="84"/>
      <c r="AY93" s="84"/>
      <c r="AZ93" s="84"/>
      <c r="BA93" s="84"/>
      <c r="BB93" s="84"/>
    </row>
    <row r="94" spans="1:54" x14ac:dyDescent="0.2">
      <c r="A94" s="69" t="s">
        <v>442</v>
      </c>
      <c r="B94" s="69" t="s">
        <v>442</v>
      </c>
      <c r="C94" s="70"/>
      <c r="D94" s="71"/>
      <c r="E94" s="72"/>
      <c r="F94" s="73"/>
      <c r="G94" s="70"/>
      <c r="H94" s="74"/>
      <c r="I94" s="75"/>
      <c r="J94" s="75"/>
      <c r="K94" s="36"/>
      <c r="L94" s="82"/>
      <c r="M94" s="82"/>
      <c r="N94" s="77"/>
      <c r="O94" s="84" t="s">
        <v>179</v>
      </c>
      <c r="P94" s="86">
        <v>44024.016226851854</v>
      </c>
      <c r="Q94" s="84" t="s">
        <v>718</v>
      </c>
      <c r="R94" s="84"/>
      <c r="S94" s="84"/>
      <c r="T94" s="84" t="s">
        <v>856</v>
      </c>
      <c r="U94" s="87" t="str">
        <f>HYPERLINK("https://pbs.twimg.com/media/Ecr13r8VcAARY9M.jpg")</f>
        <v>https://pbs.twimg.com/media/Ecr13r8VcAARY9M.jpg</v>
      </c>
      <c r="V94" s="87" t="str">
        <f>HYPERLINK("https://pbs.twimg.com/media/Ecr13r8VcAARY9M.jpg")</f>
        <v>https://pbs.twimg.com/media/Ecr13r8VcAARY9M.jpg</v>
      </c>
      <c r="W94" s="86">
        <v>44024.016226851854</v>
      </c>
      <c r="X94" s="90">
        <v>44024</v>
      </c>
      <c r="Y94" s="92" t="s">
        <v>1272</v>
      </c>
      <c r="Z94" s="87" t="str">
        <f>HYPERLINK("https://twitter.com/amotherinusa/status/1282108253808164866")</f>
        <v>https://twitter.com/amotherinusa/status/1282108253808164866</v>
      </c>
      <c r="AA94" s="84"/>
      <c r="AB94" s="84"/>
      <c r="AC94" s="92" t="s">
        <v>1695</v>
      </c>
      <c r="AD94" s="84"/>
      <c r="AE94" s="84" t="b">
        <v>0</v>
      </c>
      <c r="AF94" s="84">
        <v>0</v>
      </c>
      <c r="AG94" s="92" t="s">
        <v>1724</v>
      </c>
      <c r="AH94" s="84" t="b">
        <v>0</v>
      </c>
      <c r="AI94" s="84" t="s">
        <v>1751</v>
      </c>
      <c r="AJ94" s="84"/>
      <c r="AK94" s="92" t="s">
        <v>1724</v>
      </c>
      <c r="AL94" s="84" t="b">
        <v>0</v>
      </c>
      <c r="AM94" s="84">
        <v>5</v>
      </c>
      <c r="AN94" s="92" t="s">
        <v>1724</v>
      </c>
      <c r="AO94" s="84" t="s">
        <v>1766</v>
      </c>
      <c r="AP94" s="84" t="b">
        <v>0</v>
      </c>
      <c r="AQ94" s="92" t="s">
        <v>1695</v>
      </c>
      <c r="AR94" s="84" t="s">
        <v>179</v>
      </c>
      <c r="AS94" s="84">
        <v>0</v>
      </c>
      <c r="AT94" s="84">
        <v>0</v>
      </c>
      <c r="AU94" s="84"/>
      <c r="AV94" s="84"/>
      <c r="AW94" s="84"/>
      <c r="AX94" s="84"/>
      <c r="AY94" s="84"/>
      <c r="AZ94" s="84"/>
      <c r="BA94" s="84"/>
      <c r="BB94" s="84"/>
    </row>
    <row r="95" spans="1:54" x14ac:dyDescent="0.2">
      <c r="A95" s="69" t="s">
        <v>428</v>
      </c>
      <c r="B95" s="69" t="s">
        <v>456</v>
      </c>
      <c r="C95" s="70"/>
      <c r="D95" s="71"/>
      <c r="E95" s="72"/>
      <c r="F95" s="73"/>
      <c r="G95" s="70"/>
      <c r="H95" s="74"/>
      <c r="I95" s="75"/>
      <c r="J95" s="75"/>
      <c r="K95" s="36"/>
      <c r="L95" s="82"/>
      <c r="M95" s="82"/>
      <c r="N95" s="77"/>
      <c r="O95" s="84" t="s">
        <v>500</v>
      </c>
      <c r="P95" s="86">
        <v>44024.015763888892</v>
      </c>
      <c r="Q95" s="84" t="s">
        <v>657</v>
      </c>
      <c r="R95" s="84"/>
      <c r="S95" s="84"/>
      <c r="T95" s="84" t="s">
        <v>834</v>
      </c>
      <c r="U95" s="84"/>
      <c r="V95" s="87" t="str">
        <f>HYPERLINK("http://pbs.twimg.com/profile_images/1237650497768583168/FZVfDriy_normal.jpg")</f>
        <v>http://pbs.twimg.com/profile_images/1237650497768583168/FZVfDriy_normal.jpg</v>
      </c>
      <c r="W95" s="86">
        <v>44024.015763888892</v>
      </c>
      <c r="X95" s="90">
        <v>44024</v>
      </c>
      <c r="Y95" s="92" t="s">
        <v>1200</v>
      </c>
      <c r="Z95" s="87" t="str">
        <f>HYPERLINK("https://twitter.com/kwokkwun1/status/1282108085159342080")</f>
        <v>https://twitter.com/kwokkwun1/status/1282108085159342080</v>
      </c>
      <c r="AA95" s="84"/>
      <c r="AB95" s="84"/>
      <c r="AC95" s="92" t="s">
        <v>1621</v>
      </c>
      <c r="AD95" s="84"/>
      <c r="AE95" s="84" t="b">
        <v>0</v>
      </c>
      <c r="AF95" s="84">
        <v>0</v>
      </c>
      <c r="AG95" s="92" t="s">
        <v>1724</v>
      </c>
      <c r="AH95" s="84" t="b">
        <v>0</v>
      </c>
      <c r="AI95" s="84" t="s">
        <v>1751</v>
      </c>
      <c r="AJ95" s="84"/>
      <c r="AK95" s="92" t="s">
        <v>1724</v>
      </c>
      <c r="AL95" s="84" t="b">
        <v>0</v>
      </c>
      <c r="AM95" s="84">
        <v>51</v>
      </c>
      <c r="AN95" s="92" t="s">
        <v>1680</v>
      </c>
      <c r="AO95" s="84" t="s">
        <v>1764</v>
      </c>
      <c r="AP95" s="84" t="b">
        <v>0</v>
      </c>
      <c r="AQ95" s="92" t="s">
        <v>1680</v>
      </c>
      <c r="AR95" s="84" t="s">
        <v>179</v>
      </c>
      <c r="AS95" s="84">
        <v>0</v>
      </c>
      <c r="AT95" s="84">
        <v>0</v>
      </c>
      <c r="AU95" s="84"/>
      <c r="AV95" s="84"/>
      <c r="AW95" s="84"/>
      <c r="AX95" s="84"/>
      <c r="AY95" s="84"/>
      <c r="AZ95" s="84"/>
      <c r="BA95" s="84"/>
      <c r="BB95" s="84"/>
    </row>
    <row r="96" spans="1:54" x14ac:dyDescent="0.2">
      <c r="A96" s="69" t="s">
        <v>427</v>
      </c>
      <c r="B96" s="69" t="s">
        <v>456</v>
      </c>
      <c r="C96" s="70"/>
      <c r="D96" s="71"/>
      <c r="E96" s="72"/>
      <c r="F96" s="73"/>
      <c r="G96" s="70"/>
      <c r="H96" s="74"/>
      <c r="I96" s="75"/>
      <c r="J96" s="75"/>
      <c r="K96" s="36"/>
      <c r="L96" s="82"/>
      <c r="M96" s="82"/>
      <c r="N96" s="77"/>
      <c r="O96" s="84" t="s">
        <v>500</v>
      </c>
      <c r="P96" s="86">
        <v>44024.015393518515</v>
      </c>
      <c r="Q96" s="84" t="s">
        <v>657</v>
      </c>
      <c r="R96" s="84"/>
      <c r="S96" s="84"/>
      <c r="T96" s="84" t="s">
        <v>834</v>
      </c>
      <c r="U96" s="84"/>
      <c r="V96" s="87" t="str">
        <f>HYPERLINK("http://pbs.twimg.com/profile_images/1212109221782704128/5sjGxnc1_normal.jpg")</f>
        <v>http://pbs.twimg.com/profile_images/1212109221782704128/5sjGxnc1_normal.jpg</v>
      </c>
      <c r="W96" s="86">
        <v>44024.015393518515</v>
      </c>
      <c r="X96" s="90">
        <v>44024</v>
      </c>
      <c r="Y96" s="92" t="s">
        <v>1199</v>
      </c>
      <c r="Z96" s="87" t="str">
        <f>HYPERLINK("https://twitter.com/brettcoldwell/status/1282107950232788992")</f>
        <v>https://twitter.com/brettcoldwell/status/1282107950232788992</v>
      </c>
      <c r="AA96" s="84"/>
      <c r="AB96" s="84"/>
      <c r="AC96" s="92" t="s">
        <v>1620</v>
      </c>
      <c r="AD96" s="84"/>
      <c r="AE96" s="84" t="b">
        <v>0</v>
      </c>
      <c r="AF96" s="84">
        <v>0</v>
      </c>
      <c r="AG96" s="92" t="s">
        <v>1724</v>
      </c>
      <c r="AH96" s="84" t="b">
        <v>0</v>
      </c>
      <c r="AI96" s="84" t="s">
        <v>1751</v>
      </c>
      <c r="AJ96" s="84"/>
      <c r="AK96" s="92" t="s">
        <v>1724</v>
      </c>
      <c r="AL96" s="84" t="b">
        <v>0</v>
      </c>
      <c r="AM96" s="84">
        <v>51</v>
      </c>
      <c r="AN96" s="92" t="s">
        <v>1680</v>
      </c>
      <c r="AO96" s="84" t="s">
        <v>1763</v>
      </c>
      <c r="AP96" s="84" t="b">
        <v>0</v>
      </c>
      <c r="AQ96" s="92" t="s">
        <v>1680</v>
      </c>
      <c r="AR96" s="84" t="s">
        <v>179</v>
      </c>
      <c r="AS96" s="84">
        <v>0</v>
      </c>
      <c r="AT96" s="84">
        <v>0</v>
      </c>
      <c r="AU96" s="84"/>
      <c r="AV96" s="84"/>
      <c r="AW96" s="84"/>
      <c r="AX96" s="84"/>
      <c r="AY96" s="84"/>
      <c r="AZ96" s="84"/>
      <c r="BA96" s="84"/>
      <c r="BB96" s="84"/>
    </row>
    <row r="97" spans="1:54" x14ac:dyDescent="0.2">
      <c r="A97" s="69" t="s">
        <v>426</v>
      </c>
      <c r="B97" s="69" t="s">
        <v>456</v>
      </c>
      <c r="C97" s="70"/>
      <c r="D97" s="71"/>
      <c r="E97" s="72"/>
      <c r="F97" s="73"/>
      <c r="G97" s="70"/>
      <c r="H97" s="74"/>
      <c r="I97" s="75"/>
      <c r="J97" s="75"/>
      <c r="K97" s="36"/>
      <c r="L97" s="82"/>
      <c r="M97" s="82"/>
      <c r="N97" s="77"/>
      <c r="O97" s="84" t="s">
        <v>500</v>
      </c>
      <c r="P97" s="86">
        <v>44024.014826388891</v>
      </c>
      <c r="Q97" s="84" t="s">
        <v>657</v>
      </c>
      <c r="R97" s="84"/>
      <c r="S97" s="84"/>
      <c r="T97" s="84" t="s">
        <v>834</v>
      </c>
      <c r="U97" s="84"/>
      <c r="V97" s="87" t="str">
        <f>HYPERLINK("http://pbs.twimg.com/profile_images/1280734022927126529/WgZejjV6_normal.jpg")</f>
        <v>http://pbs.twimg.com/profile_images/1280734022927126529/WgZejjV6_normal.jpg</v>
      </c>
      <c r="W97" s="86">
        <v>44024.014826388891</v>
      </c>
      <c r="X97" s="90">
        <v>44024</v>
      </c>
      <c r="Y97" s="92" t="s">
        <v>1198</v>
      </c>
      <c r="Z97" s="87" t="str">
        <f>HYPERLINK("https://twitter.com/marianacoldwell/status/1282107744921587712")</f>
        <v>https://twitter.com/marianacoldwell/status/1282107744921587712</v>
      </c>
      <c r="AA97" s="84"/>
      <c r="AB97" s="84"/>
      <c r="AC97" s="92" t="s">
        <v>1619</v>
      </c>
      <c r="AD97" s="84"/>
      <c r="AE97" s="84" t="b">
        <v>0</v>
      </c>
      <c r="AF97" s="84">
        <v>0</v>
      </c>
      <c r="AG97" s="92" t="s">
        <v>1724</v>
      </c>
      <c r="AH97" s="84" t="b">
        <v>0</v>
      </c>
      <c r="AI97" s="84" t="s">
        <v>1751</v>
      </c>
      <c r="AJ97" s="84"/>
      <c r="AK97" s="92" t="s">
        <v>1724</v>
      </c>
      <c r="AL97" s="84" t="b">
        <v>0</v>
      </c>
      <c r="AM97" s="84">
        <v>51</v>
      </c>
      <c r="AN97" s="92" t="s">
        <v>1680</v>
      </c>
      <c r="AO97" s="84" t="s">
        <v>1763</v>
      </c>
      <c r="AP97" s="84" t="b">
        <v>0</v>
      </c>
      <c r="AQ97" s="92" t="s">
        <v>1680</v>
      </c>
      <c r="AR97" s="84" t="s">
        <v>179</v>
      </c>
      <c r="AS97" s="84">
        <v>0</v>
      </c>
      <c r="AT97" s="84">
        <v>0</v>
      </c>
      <c r="AU97" s="84"/>
      <c r="AV97" s="84"/>
      <c r="AW97" s="84"/>
      <c r="AX97" s="84"/>
      <c r="AY97" s="84"/>
      <c r="AZ97" s="84"/>
      <c r="BA97" s="84"/>
      <c r="BB97" s="84"/>
    </row>
    <row r="98" spans="1:54" x14ac:dyDescent="0.2">
      <c r="A98" s="69" t="s">
        <v>425</v>
      </c>
      <c r="B98" s="69" t="s">
        <v>456</v>
      </c>
      <c r="C98" s="70"/>
      <c r="D98" s="71"/>
      <c r="E98" s="72"/>
      <c r="F98" s="73"/>
      <c r="G98" s="70"/>
      <c r="H98" s="74"/>
      <c r="I98" s="75"/>
      <c r="J98" s="75"/>
      <c r="K98" s="36"/>
      <c r="L98" s="82"/>
      <c r="M98" s="82"/>
      <c r="N98" s="77"/>
      <c r="O98" s="84" t="s">
        <v>500</v>
      </c>
      <c r="P98" s="86">
        <v>44024.007800925923</v>
      </c>
      <c r="Q98" s="84" t="s">
        <v>657</v>
      </c>
      <c r="R98" s="84"/>
      <c r="S98" s="84"/>
      <c r="T98" s="84" t="s">
        <v>834</v>
      </c>
      <c r="U98" s="84"/>
      <c r="V98" s="87" t="str">
        <f>HYPERLINK("http://pbs.twimg.com/profile_images/1278107804377722883/hIfR-cDE_normal.jpg")</f>
        <v>http://pbs.twimg.com/profile_images/1278107804377722883/hIfR-cDE_normal.jpg</v>
      </c>
      <c r="W98" s="86">
        <v>44024.007800925923</v>
      </c>
      <c r="X98" s="90">
        <v>44024</v>
      </c>
      <c r="Y98" s="92" t="s">
        <v>1197</v>
      </c>
      <c r="Z98" s="87" t="str">
        <f>HYPERLINK("https://twitter.com/geevalarie/status/1282105199448985604")</f>
        <v>https://twitter.com/geevalarie/status/1282105199448985604</v>
      </c>
      <c r="AA98" s="84"/>
      <c r="AB98" s="84"/>
      <c r="AC98" s="92" t="s">
        <v>1618</v>
      </c>
      <c r="AD98" s="84"/>
      <c r="AE98" s="84" t="b">
        <v>0</v>
      </c>
      <c r="AF98" s="84">
        <v>0</v>
      </c>
      <c r="AG98" s="92" t="s">
        <v>1724</v>
      </c>
      <c r="AH98" s="84" t="b">
        <v>0</v>
      </c>
      <c r="AI98" s="84" t="s">
        <v>1751</v>
      </c>
      <c r="AJ98" s="84"/>
      <c r="AK98" s="92" t="s">
        <v>1724</v>
      </c>
      <c r="AL98" s="84" t="b">
        <v>0</v>
      </c>
      <c r="AM98" s="84">
        <v>51</v>
      </c>
      <c r="AN98" s="92" t="s">
        <v>1680</v>
      </c>
      <c r="AO98" s="84" t="s">
        <v>1764</v>
      </c>
      <c r="AP98" s="84" t="b">
        <v>0</v>
      </c>
      <c r="AQ98" s="92" t="s">
        <v>1680</v>
      </c>
      <c r="AR98" s="84" t="s">
        <v>179</v>
      </c>
      <c r="AS98" s="84">
        <v>0</v>
      </c>
      <c r="AT98" s="84">
        <v>0</v>
      </c>
      <c r="AU98" s="84"/>
      <c r="AV98" s="84"/>
      <c r="AW98" s="84"/>
      <c r="AX98" s="84"/>
      <c r="AY98" s="84"/>
      <c r="AZ98" s="84"/>
      <c r="BA98" s="84"/>
      <c r="BB98" s="84"/>
    </row>
    <row r="99" spans="1:54" ht="409.6" x14ac:dyDescent="0.2">
      <c r="A99" s="69" t="s">
        <v>424</v>
      </c>
      <c r="B99" s="69" t="s">
        <v>456</v>
      </c>
      <c r="C99" s="70"/>
      <c r="D99" s="71"/>
      <c r="E99" s="72"/>
      <c r="F99" s="73"/>
      <c r="G99" s="70"/>
      <c r="H99" s="74"/>
      <c r="I99" s="75"/>
      <c r="J99" s="75"/>
      <c r="K99" s="36"/>
      <c r="L99" s="82"/>
      <c r="M99" s="82"/>
      <c r="N99" s="77"/>
      <c r="O99" s="84" t="s">
        <v>500</v>
      </c>
      <c r="P99" s="86">
        <v>44024.000891203701</v>
      </c>
      <c r="Q99" s="111" t="s">
        <v>657</v>
      </c>
      <c r="R99" s="84"/>
      <c r="S99" s="84"/>
      <c r="T99" s="84" t="s">
        <v>834</v>
      </c>
      <c r="U99" s="84"/>
      <c r="V99" s="87" t="str">
        <f>HYPERLINK("http://pbs.twimg.com/profile_images/1407957729/thompson_beach_0216-2_normal.jpg")</f>
        <v>http://pbs.twimg.com/profile_images/1407957729/thompson_beach_0216-2_normal.jpg</v>
      </c>
      <c r="W99" s="86">
        <v>44024.000891203701</v>
      </c>
      <c r="X99" s="90">
        <v>44024</v>
      </c>
      <c r="Y99" s="92" t="s">
        <v>1196</v>
      </c>
      <c r="Z99" s="87" t="str">
        <f>HYPERLINK("https://twitter.com/joyfulhandsther/status/1282102694958649345")</f>
        <v>https://twitter.com/joyfulhandsther/status/1282102694958649345</v>
      </c>
      <c r="AA99" s="84"/>
      <c r="AB99" s="84"/>
      <c r="AC99" s="92" t="s">
        <v>1617</v>
      </c>
      <c r="AD99" s="84"/>
      <c r="AE99" s="84" t="b">
        <v>0</v>
      </c>
      <c r="AF99" s="84">
        <v>0</v>
      </c>
      <c r="AG99" s="92" t="s">
        <v>1724</v>
      </c>
      <c r="AH99" s="84" t="b">
        <v>0</v>
      </c>
      <c r="AI99" s="84" t="s">
        <v>1751</v>
      </c>
      <c r="AJ99" s="84"/>
      <c r="AK99" s="92" t="s">
        <v>1724</v>
      </c>
      <c r="AL99" s="84" t="b">
        <v>0</v>
      </c>
      <c r="AM99" s="84">
        <v>51</v>
      </c>
      <c r="AN99" s="92" t="s">
        <v>1680</v>
      </c>
      <c r="AO99" s="84" t="s">
        <v>1764</v>
      </c>
      <c r="AP99" s="84" t="b">
        <v>0</v>
      </c>
      <c r="AQ99" s="92" t="s">
        <v>1680</v>
      </c>
      <c r="AR99" s="84" t="s">
        <v>179</v>
      </c>
      <c r="AS99" s="84">
        <v>0</v>
      </c>
      <c r="AT99" s="84">
        <v>0</v>
      </c>
      <c r="AU99" s="84"/>
      <c r="AV99" s="84"/>
      <c r="AW99" s="84"/>
      <c r="AX99" s="84"/>
      <c r="AY99" s="84"/>
      <c r="AZ99" s="84"/>
      <c r="BA99" s="84"/>
      <c r="BB99" s="84"/>
    </row>
    <row r="100" spans="1:54" x14ac:dyDescent="0.2">
      <c r="A100" s="69" t="s">
        <v>423</v>
      </c>
      <c r="B100" s="69" t="s">
        <v>456</v>
      </c>
      <c r="C100" s="70"/>
      <c r="D100" s="71"/>
      <c r="E100" s="72"/>
      <c r="F100" s="73"/>
      <c r="G100" s="70"/>
      <c r="H100" s="74"/>
      <c r="I100" s="75"/>
      <c r="J100" s="75"/>
      <c r="K100" s="36"/>
      <c r="L100" s="82"/>
      <c r="M100" s="82"/>
      <c r="N100" s="77"/>
      <c r="O100" s="84" t="s">
        <v>500</v>
      </c>
      <c r="P100" s="86">
        <v>44023.994745370372</v>
      </c>
      <c r="Q100" s="84" t="s">
        <v>657</v>
      </c>
      <c r="R100" s="84"/>
      <c r="S100" s="84"/>
      <c r="T100" s="84" t="s">
        <v>834</v>
      </c>
      <c r="U100" s="84"/>
      <c r="V100" s="87" t="str">
        <f>HYPERLINK("http://pbs.twimg.com/profile_images/1007533608834252800/Xzh-_7lR_normal.jpg")</f>
        <v>http://pbs.twimg.com/profile_images/1007533608834252800/Xzh-_7lR_normal.jpg</v>
      </c>
      <c r="W100" s="86">
        <v>44023.994745370372</v>
      </c>
      <c r="X100" s="90">
        <v>44023</v>
      </c>
      <c r="Y100" s="92" t="s">
        <v>1195</v>
      </c>
      <c r="Z100" s="87" t="str">
        <f>HYPERLINK("https://twitter.com/genhydra/status/1282100468672598017")</f>
        <v>https://twitter.com/genhydra/status/1282100468672598017</v>
      </c>
      <c r="AA100" s="84"/>
      <c r="AB100" s="84"/>
      <c r="AC100" s="92" t="s">
        <v>1616</v>
      </c>
      <c r="AD100" s="84"/>
      <c r="AE100" s="84" t="b">
        <v>0</v>
      </c>
      <c r="AF100" s="84">
        <v>0</v>
      </c>
      <c r="AG100" s="92" t="s">
        <v>1724</v>
      </c>
      <c r="AH100" s="84" t="b">
        <v>0</v>
      </c>
      <c r="AI100" s="84" t="s">
        <v>1751</v>
      </c>
      <c r="AJ100" s="84"/>
      <c r="AK100" s="92" t="s">
        <v>1724</v>
      </c>
      <c r="AL100" s="84" t="b">
        <v>0</v>
      </c>
      <c r="AM100" s="84">
        <v>51</v>
      </c>
      <c r="AN100" s="92" t="s">
        <v>1680</v>
      </c>
      <c r="AO100" s="84" t="s">
        <v>1766</v>
      </c>
      <c r="AP100" s="84" t="b">
        <v>0</v>
      </c>
      <c r="AQ100" s="92" t="s">
        <v>1680</v>
      </c>
      <c r="AR100" s="84" t="s">
        <v>179</v>
      </c>
      <c r="AS100" s="84">
        <v>0</v>
      </c>
      <c r="AT100" s="84">
        <v>0</v>
      </c>
      <c r="AU100" s="84"/>
      <c r="AV100" s="84"/>
      <c r="AW100" s="84"/>
      <c r="AX100" s="84"/>
      <c r="AY100" s="84"/>
      <c r="AZ100" s="84"/>
      <c r="BA100" s="84"/>
      <c r="BB100" s="84"/>
    </row>
    <row r="101" spans="1:54" x14ac:dyDescent="0.2">
      <c r="A101" s="69" t="s">
        <v>422</v>
      </c>
      <c r="B101" s="69" t="s">
        <v>422</v>
      </c>
      <c r="C101" s="70"/>
      <c r="D101" s="71"/>
      <c r="E101" s="72"/>
      <c r="F101" s="73"/>
      <c r="G101" s="70"/>
      <c r="H101" s="74"/>
      <c r="I101" s="75"/>
      <c r="J101" s="75"/>
      <c r="K101" s="36"/>
      <c r="L101" s="82"/>
      <c r="M101" s="82"/>
      <c r="N101" s="77"/>
      <c r="O101" s="84" t="s">
        <v>179</v>
      </c>
      <c r="P101" s="86">
        <v>44023.993750000001</v>
      </c>
      <c r="Q101" s="84" t="s">
        <v>717</v>
      </c>
      <c r="R101" s="84"/>
      <c r="S101" s="84"/>
      <c r="T101" s="84" t="s">
        <v>851</v>
      </c>
      <c r="U101" s="84"/>
      <c r="V101" s="87" t="str">
        <f>HYPERLINK("http://pbs.twimg.com/profile_images/1045158604377083904/SZgegFwq_normal.jpg")</f>
        <v>http://pbs.twimg.com/profile_images/1045158604377083904/SZgegFwq_normal.jpg</v>
      </c>
      <c r="W101" s="86">
        <v>44023.993750000001</v>
      </c>
      <c r="X101" s="90">
        <v>44023</v>
      </c>
      <c r="Y101" s="92" t="s">
        <v>1194</v>
      </c>
      <c r="Z101" s="87" t="str">
        <f>HYPERLINK("https://twitter.com/patsywilliams1/status/1282100107123531778")</f>
        <v>https://twitter.com/patsywilliams1/status/1282100107123531778</v>
      </c>
      <c r="AA101" s="84"/>
      <c r="AB101" s="84"/>
      <c r="AC101" s="92" t="s">
        <v>1615</v>
      </c>
      <c r="AD101" s="84"/>
      <c r="AE101" s="84" t="b">
        <v>0</v>
      </c>
      <c r="AF101" s="84">
        <v>0</v>
      </c>
      <c r="AG101" s="92" t="s">
        <v>1724</v>
      </c>
      <c r="AH101" s="84" t="b">
        <v>0</v>
      </c>
      <c r="AI101" s="84" t="s">
        <v>1751</v>
      </c>
      <c r="AJ101" s="84"/>
      <c r="AK101" s="92" t="s">
        <v>1724</v>
      </c>
      <c r="AL101" s="84" t="b">
        <v>0</v>
      </c>
      <c r="AM101" s="84">
        <v>0</v>
      </c>
      <c r="AN101" s="92" t="s">
        <v>1724</v>
      </c>
      <c r="AO101" s="84" t="s">
        <v>1763</v>
      </c>
      <c r="AP101" s="84" t="b">
        <v>0</v>
      </c>
      <c r="AQ101" s="92" t="s">
        <v>1615</v>
      </c>
      <c r="AR101" s="84" t="s">
        <v>179</v>
      </c>
      <c r="AS101" s="84">
        <v>0</v>
      </c>
      <c r="AT101" s="84">
        <v>0</v>
      </c>
      <c r="AU101" s="84"/>
      <c r="AV101" s="84"/>
      <c r="AW101" s="84"/>
      <c r="AX101" s="84"/>
      <c r="AY101" s="84"/>
      <c r="AZ101" s="84"/>
      <c r="BA101" s="84"/>
      <c r="BB101" s="84"/>
    </row>
    <row r="102" spans="1:54" x14ac:dyDescent="0.2">
      <c r="A102" s="69" t="s">
        <v>421</v>
      </c>
      <c r="B102" s="69" t="s">
        <v>420</v>
      </c>
      <c r="C102" s="70"/>
      <c r="D102" s="71"/>
      <c r="E102" s="72"/>
      <c r="F102" s="73"/>
      <c r="G102" s="70"/>
      <c r="H102" s="74"/>
      <c r="I102" s="75"/>
      <c r="J102" s="75"/>
      <c r="K102" s="36"/>
      <c r="L102" s="82"/>
      <c r="M102" s="82"/>
      <c r="N102" s="77"/>
      <c r="O102" s="84" t="s">
        <v>500</v>
      </c>
      <c r="P102" s="86">
        <v>44023.990347222221</v>
      </c>
      <c r="Q102" s="84" t="s">
        <v>690</v>
      </c>
      <c r="R102" s="87" t="str">
        <f>HYPERLINK("https://representltd.com/")</f>
        <v>https://representltd.com/</v>
      </c>
      <c r="S102" s="84" t="s">
        <v>776</v>
      </c>
      <c r="T102" s="84" t="s">
        <v>844</v>
      </c>
      <c r="U102" s="84"/>
      <c r="V102" s="87" t="str">
        <f>HYPERLINK("http://pbs.twimg.com/profile_images/741097745591599106/3WLqHO2O_normal.jpg")</f>
        <v>http://pbs.twimg.com/profile_images/741097745591599106/3WLqHO2O_normal.jpg</v>
      </c>
      <c r="W102" s="86">
        <v>44023.990347222221</v>
      </c>
      <c r="X102" s="90">
        <v>44023</v>
      </c>
      <c r="Y102" s="92" t="s">
        <v>1193</v>
      </c>
      <c r="Z102" s="87" t="str">
        <f>HYPERLINK("https://twitter.com/bigru510/status/1282098875998760960")</f>
        <v>https://twitter.com/bigru510/status/1282098875998760960</v>
      </c>
      <c r="AA102" s="84"/>
      <c r="AB102" s="84"/>
      <c r="AC102" s="92" t="s">
        <v>1614</v>
      </c>
      <c r="AD102" s="84"/>
      <c r="AE102" s="84" t="b">
        <v>0</v>
      </c>
      <c r="AF102" s="84">
        <v>0</v>
      </c>
      <c r="AG102" s="92" t="s">
        <v>1724</v>
      </c>
      <c r="AH102" s="84" t="b">
        <v>0</v>
      </c>
      <c r="AI102" s="84" t="s">
        <v>1751</v>
      </c>
      <c r="AJ102" s="84"/>
      <c r="AK102" s="92" t="s">
        <v>1724</v>
      </c>
      <c r="AL102" s="84" t="b">
        <v>0</v>
      </c>
      <c r="AM102" s="84">
        <v>2</v>
      </c>
      <c r="AN102" s="92" t="s">
        <v>1613</v>
      </c>
      <c r="AO102" s="84" t="s">
        <v>1764</v>
      </c>
      <c r="AP102" s="84" t="b">
        <v>0</v>
      </c>
      <c r="AQ102" s="92" t="s">
        <v>1613</v>
      </c>
      <c r="AR102" s="84" t="s">
        <v>179</v>
      </c>
      <c r="AS102" s="84">
        <v>0</v>
      </c>
      <c r="AT102" s="84">
        <v>0</v>
      </c>
      <c r="AU102" s="84"/>
      <c r="AV102" s="84"/>
      <c r="AW102" s="84"/>
      <c r="AX102" s="84"/>
      <c r="AY102" s="84"/>
      <c r="AZ102" s="84"/>
      <c r="BA102" s="84"/>
      <c r="BB102" s="84"/>
    </row>
    <row r="103" spans="1:54" x14ac:dyDescent="0.2">
      <c r="A103" s="69" t="s">
        <v>456</v>
      </c>
      <c r="B103" s="69" t="s">
        <v>456</v>
      </c>
      <c r="C103" s="70"/>
      <c r="D103" s="71"/>
      <c r="E103" s="72"/>
      <c r="F103" s="73"/>
      <c r="G103" s="70"/>
      <c r="H103" s="74"/>
      <c r="I103" s="75"/>
      <c r="J103" s="75"/>
      <c r="K103" s="36"/>
      <c r="L103" s="82"/>
      <c r="M103" s="82"/>
      <c r="N103" s="77"/>
      <c r="O103" s="84" t="s">
        <v>500</v>
      </c>
      <c r="P103" s="86">
        <v>44023.986643518518</v>
      </c>
      <c r="Q103" s="84" t="s">
        <v>657</v>
      </c>
      <c r="R103" s="84"/>
      <c r="S103" s="84"/>
      <c r="T103" s="84" t="s">
        <v>834</v>
      </c>
      <c r="U103" s="84"/>
      <c r="V103" s="87" t="str">
        <f>HYPERLINK("http://pbs.twimg.com/profile_images/1166666423713746945/KS63Hdx5_normal.jpg")</f>
        <v>http://pbs.twimg.com/profile_images/1166666423713746945/KS63Hdx5_normal.jpg</v>
      </c>
      <c r="W103" s="86">
        <v>44023.986643518518</v>
      </c>
      <c r="X103" s="90">
        <v>44023</v>
      </c>
      <c r="Y103" s="92" t="s">
        <v>1259</v>
      </c>
      <c r="Z103" s="87" t="str">
        <f>HYPERLINK("https://twitter.com/freesuperhero1/status/1282097531187458048")</f>
        <v>https://twitter.com/freesuperhero1/status/1282097531187458048</v>
      </c>
      <c r="AA103" s="84"/>
      <c r="AB103" s="84"/>
      <c r="AC103" s="92" t="s">
        <v>1681</v>
      </c>
      <c r="AD103" s="84"/>
      <c r="AE103" s="84" t="b">
        <v>0</v>
      </c>
      <c r="AF103" s="84">
        <v>0</v>
      </c>
      <c r="AG103" s="92" t="s">
        <v>1724</v>
      </c>
      <c r="AH103" s="84" t="b">
        <v>0</v>
      </c>
      <c r="AI103" s="84" t="s">
        <v>1751</v>
      </c>
      <c r="AJ103" s="84"/>
      <c r="AK103" s="92" t="s">
        <v>1724</v>
      </c>
      <c r="AL103" s="84" t="b">
        <v>0</v>
      </c>
      <c r="AM103" s="84">
        <v>51</v>
      </c>
      <c r="AN103" s="92" t="s">
        <v>1680</v>
      </c>
      <c r="AO103" s="84" t="s">
        <v>1763</v>
      </c>
      <c r="AP103" s="84" t="b">
        <v>0</v>
      </c>
      <c r="AQ103" s="92" t="s">
        <v>1680</v>
      </c>
      <c r="AR103" s="84" t="s">
        <v>179</v>
      </c>
      <c r="AS103" s="84">
        <v>0</v>
      </c>
      <c r="AT103" s="84">
        <v>0</v>
      </c>
      <c r="AU103" s="84"/>
      <c r="AV103" s="84"/>
      <c r="AW103" s="84"/>
      <c r="AX103" s="84"/>
      <c r="AY103" s="84"/>
      <c r="AZ103" s="84"/>
      <c r="BA103" s="84"/>
      <c r="BB103" s="84"/>
    </row>
    <row r="104" spans="1:54" x14ac:dyDescent="0.2">
      <c r="A104" s="69" t="s">
        <v>419</v>
      </c>
      <c r="B104" s="69" t="s">
        <v>456</v>
      </c>
      <c r="C104" s="70"/>
      <c r="D104" s="71"/>
      <c r="E104" s="72"/>
      <c r="F104" s="73"/>
      <c r="G104" s="70"/>
      <c r="H104" s="74"/>
      <c r="I104" s="75"/>
      <c r="J104" s="75"/>
      <c r="K104" s="36"/>
      <c r="L104" s="82"/>
      <c r="M104" s="82"/>
      <c r="N104" s="77"/>
      <c r="O104" s="84" t="s">
        <v>500</v>
      </c>
      <c r="P104" s="86">
        <v>44023.986493055556</v>
      </c>
      <c r="Q104" s="84" t="s">
        <v>657</v>
      </c>
      <c r="R104" s="84"/>
      <c r="S104" s="84"/>
      <c r="T104" s="84" t="s">
        <v>834</v>
      </c>
      <c r="U104" s="84"/>
      <c r="V104" s="87" t="str">
        <f>HYPERLINK("http://pbs.twimg.com/profile_images/1163637984920518656/IrMtCjeu_normal.jpg")</f>
        <v>http://pbs.twimg.com/profile_images/1163637984920518656/IrMtCjeu_normal.jpg</v>
      </c>
      <c r="W104" s="86">
        <v>44023.986493055556</v>
      </c>
      <c r="X104" s="90">
        <v>44023</v>
      </c>
      <c r="Y104" s="92" t="s">
        <v>1191</v>
      </c>
      <c r="Z104" s="87" t="str">
        <f>HYPERLINK("https://twitter.com/garriottmatty/status/1282097476678320129")</f>
        <v>https://twitter.com/garriottmatty/status/1282097476678320129</v>
      </c>
      <c r="AA104" s="84"/>
      <c r="AB104" s="84"/>
      <c r="AC104" s="92" t="s">
        <v>1612</v>
      </c>
      <c r="AD104" s="84"/>
      <c r="AE104" s="84" t="b">
        <v>0</v>
      </c>
      <c r="AF104" s="84">
        <v>0</v>
      </c>
      <c r="AG104" s="92" t="s">
        <v>1724</v>
      </c>
      <c r="AH104" s="84" t="b">
        <v>0</v>
      </c>
      <c r="AI104" s="84" t="s">
        <v>1751</v>
      </c>
      <c r="AJ104" s="84"/>
      <c r="AK104" s="92" t="s">
        <v>1724</v>
      </c>
      <c r="AL104" s="84" t="b">
        <v>0</v>
      </c>
      <c r="AM104" s="84">
        <v>51</v>
      </c>
      <c r="AN104" s="92" t="s">
        <v>1680</v>
      </c>
      <c r="AO104" s="84" t="s">
        <v>1766</v>
      </c>
      <c r="AP104" s="84" t="b">
        <v>0</v>
      </c>
      <c r="AQ104" s="92" t="s">
        <v>1680</v>
      </c>
      <c r="AR104" s="84" t="s">
        <v>179</v>
      </c>
      <c r="AS104" s="84">
        <v>0</v>
      </c>
      <c r="AT104" s="84">
        <v>0</v>
      </c>
      <c r="AU104" s="84"/>
      <c r="AV104" s="84"/>
      <c r="AW104" s="84"/>
      <c r="AX104" s="84"/>
      <c r="AY104" s="84"/>
      <c r="AZ104" s="84"/>
      <c r="BA104" s="84"/>
      <c r="BB104" s="84"/>
    </row>
    <row r="105" spans="1:54" x14ac:dyDescent="0.2">
      <c r="A105" s="69" t="s">
        <v>442</v>
      </c>
      <c r="B105" s="69" t="s">
        <v>486</v>
      </c>
      <c r="C105" s="70"/>
      <c r="D105" s="71"/>
      <c r="E105" s="72"/>
      <c r="F105" s="73"/>
      <c r="G105" s="70"/>
      <c r="H105" s="74"/>
      <c r="I105" s="75"/>
      <c r="J105" s="75"/>
      <c r="K105" s="36"/>
      <c r="L105" s="82"/>
      <c r="M105" s="82"/>
      <c r="N105" s="77"/>
      <c r="O105" s="84" t="s">
        <v>501</v>
      </c>
      <c r="P105" s="86">
        <v>44023.981168981481</v>
      </c>
      <c r="Q105" s="84" t="s">
        <v>739</v>
      </c>
      <c r="R105" s="84"/>
      <c r="S105" s="84"/>
      <c r="T105" s="84" t="s">
        <v>855</v>
      </c>
      <c r="U105" s="84"/>
      <c r="V105" s="87" t="str">
        <f>HYPERLINK("http://pbs.twimg.com/profile_images/1275228658521669632/ddxuDAf2_normal.jpg")</f>
        <v>http://pbs.twimg.com/profile_images/1275228658521669632/ddxuDAf2_normal.jpg</v>
      </c>
      <c r="W105" s="86">
        <v>44023.981168981481</v>
      </c>
      <c r="X105" s="90">
        <v>44023</v>
      </c>
      <c r="Y105" s="92" t="s">
        <v>1233</v>
      </c>
      <c r="Z105" s="87" t="str">
        <f>HYPERLINK("https://twitter.com/amotherinusa/status/1282095546384084992")</f>
        <v>https://twitter.com/amotherinusa/status/1282095546384084992</v>
      </c>
      <c r="AA105" s="84"/>
      <c r="AB105" s="84"/>
      <c r="AC105" s="92" t="s">
        <v>1654</v>
      </c>
      <c r="AD105" s="92" t="s">
        <v>1716</v>
      </c>
      <c r="AE105" s="84" t="b">
        <v>0</v>
      </c>
      <c r="AF105" s="84">
        <v>0</v>
      </c>
      <c r="AG105" s="92" t="s">
        <v>1741</v>
      </c>
      <c r="AH105" s="84" t="b">
        <v>0</v>
      </c>
      <c r="AI105" s="84" t="s">
        <v>1751</v>
      </c>
      <c r="AJ105" s="84"/>
      <c r="AK105" s="92" t="s">
        <v>1724</v>
      </c>
      <c r="AL105" s="84" t="b">
        <v>0</v>
      </c>
      <c r="AM105" s="84">
        <v>0</v>
      </c>
      <c r="AN105" s="92" t="s">
        <v>1724</v>
      </c>
      <c r="AO105" s="84" t="s">
        <v>1766</v>
      </c>
      <c r="AP105" s="84" t="b">
        <v>0</v>
      </c>
      <c r="AQ105" s="92" t="s">
        <v>1716</v>
      </c>
      <c r="AR105" s="84" t="s">
        <v>179</v>
      </c>
      <c r="AS105" s="84">
        <v>0</v>
      </c>
      <c r="AT105" s="84">
        <v>0</v>
      </c>
      <c r="AU105" s="84"/>
      <c r="AV105" s="84"/>
      <c r="AW105" s="84"/>
      <c r="AX105" s="84"/>
      <c r="AY105" s="84"/>
      <c r="AZ105" s="84"/>
      <c r="BA105" s="84"/>
      <c r="BB105" s="84"/>
    </row>
    <row r="106" spans="1:54" x14ac:dyDescent="0.2">
      <c r="A106" s="69" t="s">
        <v>442</v>
      </c>
      <c r="B106" s="69" t="s">
        <v>487</v>
      </c>
      <c r="C106" s="70"/>
      <c r="D106" s="71"/>
      <c r="E106" s="72"/>
      <c r="F106" s="73"/>
      <c r="G106" s="70"/>
      <c r="H106" s="74"/>
      <c r="I106" s="75"/>
      <c r="J106" s="75"/>
      <c r="K106" s="36"/>
      <c r="L106" s="82"/>
      <c r="M106" s="82"/>
      <c r="N106" s="77"/>
      <c r="O106" s="84" t="s">
        <v>503</v>
      </c>
      <c r="P106" s="86">
        <v>44023.981168981481</v>
      </c>
      <c r="Q106" s="84" t="s">
        <v>739</v>
      </c>
      <c r="R106" s="84"/>
      <c r="S106" s="84"/>
      <c r="T106" s="84" t="s">
        <v>855</v>
      </c>
      <c r="U106" s="84"/>
      <c r="V106" s="87" t="str">
        <f>HYPERLINK("http://pbs.twimg.com/profile_images/1275228658521669632/ddxuDAf2_normal.jpg")</f>
        <v>http://pbs.twimg.com/profile_images/1275228658521669632/ddxuDAf2_normal.jpg</v>
      </c>
      <c r="W106" s="86">
        <v>44023.981168981481</v>
      </c>
      <c r="X106" s="90">
        <v>44023</v>
      </c>
      <c r="Y106" s="92" t="s">
        <v>1233</v>
      </c>
      <c r="Z106" s="87" t="str">
        <f>HYPERLINK("https://twitter.com/amotherinusa/status/1282095546384084992")</f>
        <v>https://twitter.com/amotherinusa/status/1282095546384084992</v>
      </c>
      <c r="AA106" s="84"/>
      <c r="AB106" s="84"/>
      <c r="AC106" s="92" t="s">
        <v>1654</v>
      </c>
      <c r="AD106" s="92" t="s">
        <v>1716</v>
      </c>
      <c r="AE106" s="84" t="b">
        <v>0</v>
      </c>
      <c r="AF106" s="84">
        <v>0</v>
      </c>
      <c r="AG106" s="92" t="s">
        <v>1741</v>
      </c>
      <c r="AH106" s="84" t="b">
        <v>0</v>
      </c>
      <c r="AI106" s="84" t="s">
        <v>1751</v>
      </c>
      <c r="AJ106" s="84"/>
      <c r="AK106" s="92" t="s">
        <v>1724</v>
      </c>
      <c r="AL106" s="84" t="b">
        <v>0</v>
      </c>
      <c r="AM106" s="84">
        <v>0</v>
      </c>
      <c r="AN106" s="92" t="s">
        <v>1724</v>
      </c>
      <c r="AO106" s="84" t="s">
        <v>1766</v>
      </c>
      <c r="AP106" s="84" t="b">
        <v>0</v>
      </c>
      <c r="AQ106" s="92" t="s">
        <v>1716</v>
      </c>
      <c r="AR106" s="84" t="s">
        <v>179</v>
      </c>
      <c r="AS106" s="84">
        <v>0</v>
      </c>
      <c r="AT106" s="84">
        <v>0</v>
      </c>
      <c r="AU106" s="84"/>
      <c r="AV106" s="84"/>
      <c r="AW106" s="84"/>
      <c r="AX106" s="84"/>
      <c r="AY106" s="84"/>
      <c r="AZ106" s="84"/>
      <c r="BA106" s="84"/>
      <c r="BB106" s="84"/>
    </row>
    <row r="107" spans="1:54" x14ac:dyDescent="0.2">
      <c r="A107" s="69" t="s">
        <v>418</v>
      </c>
      <c r="B107" s="69" t="s">
        <v>456</v>
      </c>
      <c r="C107" s="70"/>
      <c r="D107" s="71"/>
      <c r="E107" s="72"/>
      <c r="F107" s="73"/>
      <c r="G107" s="70"/>
      <c r="H107" s="74"/>
      <c r="I107" s="75"/>
      <c r="J107" s="75"/>
      <c r="K107" s="36"/>
      <c r="L107" s="82"/>
      <c r="M107" s="82"/>
      <c r="N107" s="77"/>
      <c r="O107" s="84" t="s">
        <v>500</v>
      </c>
      <c r="P107" s="86">
        <v>44023.972337962965</v>
      </c>
      <c r="Q107" s="84" t="s">
        <v>657</v>
      </c>
      <c r="R107" s="84"/>
      <c r="S107" s="84"/>
      <c r="T107" s="84" t="s">
        <v>834</v>
      </c>
      <c r="U107" s="84"/>
      <c r="V107" s="87" t="str">
        <f>HYPERLINK("http://pbs.twimg.com/profile_images/1067981706039304192/Eoqx0uwd_normal.jpg")</f>
        <v>http://pbs.twimg.com/profile_images/1067981706039304192/Eoqx0uwd_normal.jpg</v>
      </c>
      <c r="W107" s="86">
        <v>44023.972337962965</v>
      </c>
      <c r="X107" s="90">
        <v>44023</v>
      </c>
      <c r="Y107" s="92" t="s">
        <v>1190</v>
      </c>
      <c r="Z107" s="87" t="str">
        <f>HYPERLINK("https://twitter.com/pineal_963/status/1282092346348376064")</f>
        <v>https://twitter.com/pineal_963/status/1282092346348376064</v>
      </c>
      <c r="AA107" s="84"/>
      <c r="AB107" s="84"/>
      <c r="AC107" s="92" t="s">
        <v>1611</v>
      </c>
      <c r="AD107" s="84"/>
      <c r="AE107" s="84" t="b">
        <v>0</v>
      </c>
      <c r="AF107" s="84">
        <v>0</v>
      </c>
      <c r="AG107" s="92" t="s">
        <v>1724</v>
      </c>
      <c r="AH107" s="84" t="b">
        <v>0</v>
      </c>
      <c r="AI107" s="84" t="s">
        <v>1751</v>
      </c>
      <c r="AJ107" s="84"/>
      <c r="AK107" s="92" t="s">
        <v>1724</v>
      </c>
      <c r="AL107" s="84" t="b">
        <v>0</v>
      </c>
      <c r="AM107" s="84">
        <v>51</v>
      </c>
      <c r="AN107" s="92" t="s">
        <v>1680</v>
      </c>
      <c r="AO107" s="84" t="s">
        <v>1766</v>
      </c>
      <c r="AP107" s="84" t="b">
        <v>0</v>
      </c>
      <c r="AQ107" s="92" t="s">
        <v>1680</v>
      </c>
      <c r="AR107" s="84" t="s">
        <v>179</v>
      </c>
      <c r="AS107" s="84">
        <v>0</v>
      </c>
      <c r="AT107" s="84">
        <v>0</v>
      </c>
      <c r="AU107" s="84"/>
      <c r="AV107" s="84"/>
      <c r="AW107" s="84"/>
      <c r="AX107" s="84"/>
      <c r="AY107" s="84"/>
      <c r="AZ107" s="84"/>
      <c r="BA107" s="84"/>
      <c r="BB107" s="84"/>
    </row>
    <row r="108" spans="1:54" x14ac:dyDescent="0.2">
      <c r="A108" s="69" t="s">
        <v>417</v>
      </c>
      <c r="B108" s="69" t="s">
        <v>417</v>
      </c>
      <c r="C108" s="70"/>
      <c r="D108" s="71"/>
      <c r="E108" s="72"/>
      <c r="F108" s="73"/>
      <c r="G108" s="70"/>
      <c r="H108" s="74"/>
      <c r="I108" s="75"/>
      <c r="J108" s="75"/>
      <c r="K108" s="36"/>
      <c r="L108" s="82"/>
      <c r="M108" s="82"/>
      <c r="N108" s="77"/>
      <c r="O108" s="84" t="s">
        <v>179</v>
      </c>
      <c r="P108" s="86">
        <v>44023.970659722225</v>
      </c>
      <c r="Q108" s="84" t="s">
        <v>716</v>
      </c>
      <c r="R108" s="84"/>
      <c r="S108" s="84"/>
      <c r="T108" s="84" t="s">
        <v>781</v>
      </c>
      <c r="U108" s="84"/>
      <c r="V108" s="87" t="str">
        <f>HYPERLINK("http://pbs.twimg.com/profile_images/1622761919/akabeko_icon4_normal.jpg")</f>
        <v>http://pbs.twimg.com/profile_images/1622761919/akabeko_icon4_normal.jpg</v>
      </c>
      <c r="W108" s="86">
        <v>44023.970659722225</v>
      </c>
      <c r="X108" s="90">
        <v>44023</v>
      </c>
      <c r="Y108" s="92" t="s">
        <v>1189</v>
      </c>
      <c r="Z108" s="87" t="str">
        <f>HYPERLINK("https://twitter.com/kaniwo/status/1282091739835031552")</f>
        <v>https://twitter.com/kaniwo/status/1282091739835031552</v>
      </c>
      <c r="AA108" s="84"/>
      <c r="AB108" s="84"/>
      <c r="AC108" s="92" t="s">
        <v>1610</v>
      </c>
      <c r="AD108" s="84"/>
      <c r="AE108" s="84" t="b">
        <v>0</v>
      </c>
      <c r="AF108" s="84">
        <v>2</v>
      </c>
      <c r="AG108" s="92" t="s">
        <v>1724</v>
      </c>
      <c r="AH108" s="84" t="b">
        <v>0</v>
      </c>
      <c r="AI108" s="84" t="s">
        <v>1750</v>
      </c>
      <c r="AJ108" s="84"/>
      <c r="AK108" s="92" t="s">
        <v>1724</v>
      </c>
      <c r="AL108" s="84" t="b">
        <v>0</v>
      </c>
      <c r="AM108" s="84">
        <v>0</v>
      </c>
      <c r="AN108" s="92" t="s">
        <v>1724</v>
      </c>
      <c r="AO108" s="84" t="s">
        <v>1766</v>
      </c>
      <c r="AP108" s="84" t="b">
        <v>0</v>
      </c>
      <c r="AQ108" s="92" t="s">
        <v>1610</v>
      </c>
      <c r="AR108" s="84" t="s">
        <v>179</v>
      </c>
      <c r="AS108" s="84">
        <v>0</v>
      </c>
      <c r="AT108" s="84">
        <v>0</v>
      </c>
      <c r="AU108" s="84"/>
      <c r="AV108" s="84"/>
      <c r="AW108" s="84"/>
      <c r="AX108" s="84"/>
      <c r="AY108" s="84"/>
      <c r="AZ108" s="84"/>
      <c r="BA108" s="84"/>
      <c r="BB108" s="84"/>
    </row>
    <row r="109" spans="1:54" x14ac:dyDescent="0.2">
      <c r="A109" s="69" t="s">
        <v>416</v>
      </c>
      <c r="B109" s="69" t="s">
        <v>456</v>
      </c>
      <c r="C109" s="70"/>
      <c r="D109" s="71"/>
      <c r="E109" s="72"/>
      <c r="F109" s="73"/>
      <c r="G109" s="70"/>
      <c r="H109" s="74"/>
      <c r="I109" s="75"/>
      <c r="J109" s="75"/>
      <c r="K109" s="36"/>
      <c r="L109" s="82"/>
      <c r="M109" s="82"/>
      <c r="N109" s="77"/>
      <c r="O109" s="84" t="s">
        <v>500</v>
      </c>
      <c r="P109" s="86">
        <v>44023.967870370368</v>
      </c>
      <c r="Q109" s="84" t="s">
        <v>657</v>
      </c>
      <c r="R109" s="84"/>
      <c r="S109" s="84"/>
      <c r="T109" s="84" t="s">
        <v>834</v>
      </c>
      <c r="U109" s="84"/>
      <c r="V109" s="87" t="str">
        <f>HYPERLINK("http://pbs.twimg.com/profile_images/1140318021686353923/M00UCe4S_normal.png")</f>
        <v>http://pbs.twimg.com/profile_images/1140318021686353923/M00UCe4S_normal.png</v>
      </c>
      <c r="W109" s="86">
        <v>44023.967870370368</v>
      </c>
      <c r="X109" s="90">
        <v>44023</v>
      </c>
      <c r="Y109" s="92" t="s">
        <v>1187</v>
      </c>
      <c r="Z109" s="87" t="str">
        <f>HYPERLINK("https://twitter.com/vivienmaron/status/1282090728525627393")</f>
        <v>https://twitter.com/vivienmaron/status/1282090728525627393</v>
      </c>
      <c r="AA109" s="84"/>
      <c r="AB109" s="84"/>
      <c r="AC109" s="92" t="s">
        <v>1608</v>
      </c>
      <c r="AD109" s="84"/>
      <c r="AE109" s="84" t="b">
        <v>0</v>
      </c>
      <c r="AF109" s="84">
        <v>0</v>
      </c>
      <c r="AG109" s="92" t="s">
        <v>1724</v>
      </c>
      <c r="AH109" s="84" t="b">
        <v>0</v>
      </c>
      <c r="AI109" s="84" t="s">
        <v>1751</v>
      </c>
      <c r="AJ109" s="84"/>
      <c r="AK109" s="92" t="s">
        <v>1724</v>
      </c>
      <c r="AL109" s="84" t="b">
        <v>0</v>
      </c>
      <c r="AM109" s="84">
        <v>51</v>
      </c>
      <c r="AN109" s="92" t="s">
        <v>1680</v>
      </c>
      <c r="AO109" s="84" t="s">
        <v>1766</v>
      </c>
      <c r="AP109" s="84" t="b">
        <v>0</v>
      </c>
      <c r="AQ109" s="92" t="s">
        <v>1680</v>
      </c>
      <c r="AR109" s="84" t="s">
        <v>179</v>
      </c>
      <c r="AS109" s="84">
        <v>0</v>
      </c>
      <c r="AT109" s="84">
        <v>0</v>
      </c>
      <c r="AU109" s="84"/>
      <c r="AV109" s="84"/>
      <c r="AW109" s="84"/>
      <c r="AX109" s="84"/>
      <c r="AY109" s="84"/>
      <c r="AZ109" s="84"/>
      <c r="BA109" s="84"/>
      <c r="BB109" s="84"/>
    </row>
    <row r="110" spans="1:54" x14ac:dyDescent="0.2">
      <c r="A110" s="69" t="s">
        <v>417</v>
      </c>
      <c r="B110" s="69" t="s">
        <v>417</v>
      </c>
      <c r="C110" s="70"/>
      <c r="D110" s="71"/>
      <c r="E110" s="72"/>
      <c r="F110" s="73"/>
      <c r="G110" s="70"/>
      <c r="H110" s="74"/>
      <c r="I110" s="75"/>
      <c r="J110" s="75"/>
      <c r="K110" s="36"/>
      <c r="L110" s="82"/>
      <c r="M110" s="82"/>
      <c r="N110" s="77"/>
      <c r="O110" s="84" t="s">
        <v>179</v>
      </c>
      <c r="P110" s="86">
        <v>44023.960636574076</v>
      </c>
      <c r="Q110" s="84" t="s">
        <v>715</v>
      </c>
      <c r="R110" s="84"/>
      <c r="S110" s="84"/>
      <c r="T110" s="84" t="s">
        <v>781</v>
      </c>
      <c r="U110" s="87" t="str">
        <f>HYPERLINK("https://pbs.twimg.com/media/EcrjknIUEAAD4mA.jpg")</f>
        <v>https://pbs.twimg.com/media/EcrjknIUEAAD4mA.jpg</v>
      </c>
      <c r="V110" s="87" t="str">
        <f>HYPERLINK("https://pbs.twimg.com/media/EcrjknIUEAAD4mA.jpg")</f>
        <v>https://pbs.twimg.com/media/EcrjknIUEAAD4mA.jpg</v>
      </c>
      <c r="W110" s="86">
        <v>44023.960636574076</v>
      </c>
      <c r="X110" s="90">
        <v>44023</v>
      </c>
      <c r="Y110" s="92" t="s">
        <v>1188</v>
      </c>
      <c r="Z110" s="87" t="str">
        <f>HYPERLINK("https://twitter.com/kaniwo/status/1282088105529368577")</f>
        <v>https://twitter.com/kaniwo/status/1282088105529368577</v>
      </c>
      <c r="AA110" s="84"/>
      <c r="AB110" s="84"/>
      <c r="AC110" s="92" t="s">
        <v>1609</v>
      </c>
      <c r="AD110" s="84"/>
      <c r="AE110" s="84" t="b">
        <v>0</v>
      </c>
      <c r="AF110" s="84">
        <v>0</v>
      </c>
      <c r="AG110" s="92" t="s">
        <v>1724</v>
      </c>
      <c r="AH110" s="84" t="b">
        <v>0</v>
      </c>
      <c r="AI110" s="84" t="s">
        <v>1750</v>
      </c>
      <c r="AJ110" s="84"/>
      <c r="AK110" s="92" t="s">
        <v>1724</v>
      </c>
      <c r="AL110" s="84" t="b">
        <v>0</v>
      </c>
      <c r="AM110" s="84">
        <v>0</v>
      </c>
      <c r="AN110" s="92" t="s">
        <v>1724</v>
      </c>
      <c r="AO110" s="84" t="s">
        <v>1766</v>
      </c>
      <c r="AP110" s="84" t="b">
        <v>0</v>
      </c>
      <c r="AQ110" s="92" t="s">
        <v>1609</v>
      </c>
      <c r="AR110" s="84" t="s">
        <v>179</v>
      </c>
      <c r="AS110" s="84">
        <v>0</v>
      </c>
      <c r="AT110" s="84">
        <v>0</v>
      </c>
      <c r="AU110" s="84"/>
      <c r="AV110" s="84"/>
      <c r="AW110" s="84"/>
      <c r="AX110" s="84"/>
      <c r="AY110" s="84"/>
      <c r="AZ110" s="84"/>
      <c r="BA110" s="84"/>
      <c r="BB110" s="84"/>
    </row>
    <row r="111" spans="1:54" x14ac:dyDescent="0.2">
      <c r="A111" s="69" t="s">
        <v>415</v>
      </c>
      <c r="B111" s="69" t="s">
        <v>456</v>
      </c>
      <c r="C111" s="70"/>
      <c r="D111" s="71"/>
      <c r="E111" s="72"/>
      <c r="F111" s="73"/>
      <c r="G111" s="70"/>
      <c r="H111" s="74"/>
      <c r="I111" s="75"/>
      <c r="J111" s="75"/>
      <c r="K111" s="36"/>
      <c r="L111" s="82"/>
      <c r="M111" s="82"/>
      <c r="N111" s="77"/>
      <c r="O111" s="84" t="s">
        <v>500</v>
      </c>
      <c r="P111" s="86">
        <v>44023.957546296297</v>
      </c>
      <c r="Q111" s="84" t="s">
        <v>657</v>
      </c>
      <c r="R111" s="84"/>
      <c r="S111" s="84"/>
      <c r="T111" s="84" t="s">
        <v>834</v>
      </c>
      <c r="U111" s="84"/>
      <c r="V111" s="87" t="str">
        <f>HYPERLINK("http://pbs.twimg.com/profile_images/1125072036068503558/CyzCJyQU_normal.jpg")</f>
        <v>http://pbs.twimg.com/profile_images/1125072036068503558/CyzCJyQU_normal.jpg</v>
      </c>
      <c r="W111" s="86">
        <v>44023.957546296297</v>
      </c>
      <c r="X111" s="90">
        <v>44023</v>
      </c>
      <c r="Y111" s="92" t="s">
        <v>1186</v>
      </c>
      <c r="Z111" s="87" t="str">
        <f>HYPERLINK("https://twitter.com/hildahealing/status/1282086987227451396")</f>
        <v>https://twitter.com/hildahealing/status/1282086987227451396</v>
      </c>
      <c r="AA111" s="84"/>
      <c r="AB111" s="84"/>
      <c r="AC111" s="92" t="s">
        <v>1607</v>
      </c>
      <c r="AD111" s="84"/>
      <c r="AE111" s="84" t="b">
        <v>0</v>
      </c>
      <c r="AF111" s="84">
        <v>0</v>
      </c>
      <c r="AG111" s="92" t="s">
        <v>1724</v>
      </c>
      <c r="AH111" s="84" t="b">
        <v>0</v>
      </c>
      <c r="AI111" s="84" t="s">
        <v>1751</v>
      </c>
      <c r="AJ111" s="84"/>
      <c r="AK111" s="92" t="s">
        <v>1724</v>
      </c>
      <c r="AL111" s="84" t="b">
        <v>0</v>
      </c>
      <c r="AM111" s="84">
        <v>51</v>
      </c>
      <c r="AN111" s="92" t="s">
        <v>1680</v>
      </c>
      <c r="AO111" s="84" t="s">
        <v>1763</v>
      </c>
      <c r="AP111" s="84" t="b">
        <v>0</v>
      </c>
      <c r="AQ111" s="92" t="s">
        <v>1680</v>
      </c>
      <c r="AR111" s="84" t="s">
        <v>179</v>
      </c>
      <c r="AS111" s="84">
        <v>0</v>
      </c>
      <c r="AT111" s="84">
        <v>0</v>
      </c>
      <c r="AU111" s="84"/>
      <c r="AV111" s="84"/>
      <c r="AW111" s="84"/>
      <c r="AX111" s="84"/>
      <c r="AY111" s="84"/>
      <c r="AZ111" s="84"/>
      <c r="BA111" s="84"/>
      <c r="BB111" s="84"/>
    </row>
    <row r="112" spans="1:54" x14ac:dyDescent="0.2">
      <c r="A112" s="69" t="s">
        <v>433</v>
      </c>
      <c r="B112" s="69" t="s">
        <v>442</v>
      </c>
      <c r="C112" s="70"/>
      <c r="D112" s="71"/>
      <c r="E112" s="72"/>
      <c r="F112" s="73"/>
      <c r="G112" s="70"/>
      <c r="H112" s="74"/>
      <c r="I112" s="75"/>
      <c r="J112" s="75"/>
      <c r="K112" s="36"/>
      <c r="L112" s="82"/>
      <c r="M112" s="82"/>
      <c r="N112" s="77"/>
      <c r="O112" s="84" t="s">
        <v>500</v>
      </c>
      <c r="P112" s="86">
        <v>44023.950844907406</v>
      </c>
      <c r="Q112" s="84" t="s">
        <v>721</v>
      </c>
      <c r="R112" s="84"/>
      <c r="S112" s="84"/>
      <c r="T112" s="84"/>
      <c r="U112" s="84"/>
      <c r="V112" s="87" t="str">
        <f>HYPERLINK("http://pbs.twimg.com/profile_images/1281718729236242433/9fUBuRZx_normal.jpg")</f>
        <v>http://pbs.twimg.com/profile_images/1281718729236242433/9fUBuRZx_normal.jpg</v>
      </c>
      <c r="W112" s="86">
        <v>44023.950844907406</v>
      </c>
      <c r="X112" s="90">
        <v>44023</v>
      </c>
      <c r="Y112" s="92" t="s">
        <v>1205</v>
      </c>
      <c r="Z112" s="87" t="str">
        <f>HYPERLINK("https://twitter.com/ghettolion17/status/1282084558394056704")</f>
        <v>https://twitter.com/ghettolion17/status/1282084558394056704</v>
      </c>
      <c r="AA112" s="84"/>
      <c r="AB112" s="84"/>
      <c r="AC112" s="92" t="s">
        <v>1626</v>
      </c>
      <c r="AD112" s="84"/>
      <c r="AE112" s="84" t="b">
        <v>0</v>
      </c>
      <c r="AF112" s="84">
        <v>0</v>
      </c>
      <c r="AG112" s="92" t="s">
        <v>1724</v>
      </c>
      <c r="AH112" s="84" t="b">
        <v>0</v>
      </c>
      <c r="AI112" s="84" t="s">
        <v>1751</v>
      </c>
      <c r="AJ112" s="84"/>
      <c r="AK112" s="92" t="s">
        <v>1724</v>
      </c>
      <c r="AL112" s="84" t="b">
        <v>0</v>
      </c>
      <c r="AM112" s="84">
        <v>2</v>
      </c>
      <c r="AN112" s="92" t="s">
        <v>1693</v>
      </c>
      <c r="AO112" s="84" t="s">
        <v>1763</v>
      </c>
      <c r="AP112" s="84" t="b">
        <v>0</v>
      </c>
      <c r="AQ112" s="92" t="s">
        <v>1693</v>
      </c>
      <c r="AR112" s="84" t="s">
        <v>179</v>
      </c>
      <c r="AS112" s="84">
        <v>0</v>
      </c>
      <c r="AT112" s="84">
        <v>0</v>
      </c>
      <c r="AU112" s="84"/>
      <c r="AV112" s="84"/>
      <c r="AW112" s="84"/>
      <c r="AX112" s="84"/>
      <c r="AY112" s="84"/>
      <c r="AZ112" s="84"/>
      <c r="BA112" s="84"/>
      <c r="BB112" s="84"/>
    </row>
    <row r="113" spans="1:54" x14ac:dyDescent="0.2">
      <c r="A113" s="69" t="s">
        <v>442</v>
      </c>
      <c r="B113" s="69" t="s">
        <v>442</v>
      </c>
      <c r="C113" s="70"/>
      <c r="D113" s="71"/>
      <c r="E113" s="72"/>
      <c r="F113" s="73"/>
      <c r="G113" s="70"/>
      <c r="H113" s="74"/>
      <c r="I113" s="75"/>
      <c r="J113" s="75"/>
      <c r="K113" s="36"/>
      <c r="L113" s="82"/>
      <c r="M113" s="82"/>
      <c r="N113" s="77"/>
      <c r="O113" s="84" t="s">
        <v>500</v>
      </c>
      <c r="P113" s="86">
        <v>44023.950185185182</v>
      </c>
      <c r="Q113" s="84" t="s">
        <v>721</v>
      </c>
      <c r="R113" s="84"/>
      <c r="S113" s="84"/>
      <c r="T113" s="84"/>
      <c r="U113" s="84"/>
      <c r="V113" s="87" t="str">
        <f>HYPERLINK("http://pbs.twimg.com/profile_images/1275228658521669632/ddxuDAf2_normal.jpg")</f>
        <v>http://pbs.twimg.com/profile_images/1275228658521669632/ddxuDAf2_normal.jpg</v>
      </c>
      <c r="W113" s="86">
        <v>44023.950185185182</v>
      </c>
      <c r="X113" s="90">
        <v>44023</v>
      </c>
      <c r="Y113" s="92" t="s">
        <v>1271</v>
      </c>
      <c r="Z113" s="87" t="str">
        <f>HYPERLINK("https://twitter.com/amotherinusa/status/1282084318680997889")</f>
        <v>https://twitter.com/amotherinusa/status/1282084318680997889</v>
      </c>
      <c r="AA113" s="84"/>
      <c r="AB113" s="84"/>
      <c r="AC113" s="92" t="s">
        <v>1694</v>
      </c>
      <c r="AD113" s="84"/>
      <c r="AE113" s="84" t="b">
        <v>0</v>
      </c>
      <c r="AF113" s="84">
        <v>0</v>
      </c>
      <c r="AG113" s="92" t="s">
        <v>1724</v>
      </c>
      <c r="AH113" s="84" t="b">
        <v>0</v>
      </c>
      <c r="AI113" s="84" t="s">
        <v>1751</v>
      </c>
      <c r="AJ113" s="84"/>
      <c r="AK113" s="92" t="s">
        <v>1724</v>
      </c>
      <c r="AL113" s="84" t="b">
        <v>0</v>
      </c>
      <c r="AM113" s="84">
        <v>2</v>
      </c>
      <c r="AN113" s="92" t="s">
        <v>1693</v>
      </c>
      <c r="AO113" s="84" t="s">
        <v>1766</v>
      </c>
      <c r="AP113" s="84" t="b">
        <v>0</v>
      </c>
      <c r="AQ113" s="92" t="s">
        <v>1693</v>
      </c>
      <c r="AR113" s="84" t="s">
        <v>179</v>
      </c>
      <c r="AS113" s="84">
        <v>0</v>
      </c>
      <c r="AT113" s="84">
        <v>0</v>
      </c>
      <c r="AU113" s="84"/>
      <c r="AV113" s="84"/>
      <c r="AW113" s="84"/>
      <c r="AX113" s="84"/>
      <c r="AY113" s="84"/>
      <c r="AZ113" s="84"/>
      <c r="BA113" s="84"/>
      <c r="BB113" s="84"/>
    </row>
    <row r="114" spans="1:54" x14ac:dyDescent="0.2">
      <c r="A114" s="69" t="s">
        <v>442</v>
      </c>
      <c r="B114" s="69" t="s">
        <v>442</v>
      </c>
      <c r="C114" s="70"/>
      <c r="D114" s="71"/>
      <c r="E114" s="72"/>
      <c r="F114" s="73"/>
      <c r="G114" s="70"/>
      <c r="H114" s="74"/>
      <c r="I114" s="75"/>
      <c r="J114" s="75"/>
      <c r="K114" s="36"/>
      <c r="L114" s="82"/>
      <c r="M114" s="82"/>
      <c r="N114" s="77"/>
      <c r="O114" s="84" t="s">
        <v>179</v>
      </c>
      <c r="P114" s="86">
        <v>44023.950069444443</v>
      </c>
      <c r="Q114" s="84" t="s">
        <v>721</v>
      </c>
      <c r="R114" s="84"/>
      <c r="S114" s="84"/>
      <c r="T114" s="84" t="s">
        <v>861</v>
      </c>
      <c r="U114" s="87" t="str">
        <f>HYPERLINK("https://pbs.twimg.com/media/EcrgIpUU4AAMlI4.jpg")</f>
        <v>https://pbs.twimg.com/media/EcrgIpUU4AAMlI4.jpg</v>
      </c>
      <c r="V114" s="87" t="str">
        <f>HYPERLINK("https://pbs.twimg.com/media/EcrgIpUU4AAMlI4.jpg")</f>
        <v>https://pbs.twimg.com/media/EcrgIpUU4AAMlI4.jpg</v>
      </c>
      <c r="W114" s="86">
        <v>44023.950069444443</v>
      </c>
      <c r="X114" s="90">
        <v>44023</v>
      </c>
      <c r="Y114" s="92" t="s">
        <v>1270</v>
      </c>
      <c r="Z114" s="87" t="str">
        <f>HYPERLINK("https://twitter.com/amotherinusa/status/1282084278528954368")</f>
        <v>https://twitter.com/amotherinusa/status/1282084278528954368</v>
      </c>
      <c r="AA114" s="84"/>
      <c r="AB114" s="84"/>
      <c r="AC114" s="92" t="s">
        <v>1693</v>
      </c>
      <c r="AD114" s="84"/>
      <c r="AE114" s="84" t="b">
        <v>0</v>
      </c>
      <c r="AF114" s="84">
        <v>1</v>
      </c>
      <c r="AG114" s="92" t="s">
        <v>1724</v>
      </c>
      <c r="AH114" s="84" t="b">
        <v>0</v>
      </c>
      <c r="AI114" s="84" t="s">
        <v>1751</v>
      </c>
      <c r="AJ114" s="84"/>
      <c r="AK114" s="92" t="s">
        <v>1724</v>
      </c>
      <c r="AL114" s="84" t="b">
        <v>0</v>
      </c>
      <c r="AM114" s="84">
        <v>2</v>
      </c>
      <c r="AN114" s="92" t="s">
        <v>1724</v>
      </c>
      <c r="AO114" s="84" t="s">
        <v>1766</v>
      </c>
      <c r="AP114" s="84" t="b">
        <v>0</v>
      </c>
      <c r="AQ114" s="92" t="s">
        <v>1693</v>
      </c>
      <c r="AR114" s="84" t="s">
        <v>179</v>
      </c>
      <c r="AS114" s="84">
        <v>0</v>
      </c>
      <c r="AT114" s="84">
        <v>0</v>
      </c>
      <c r="AU114" s="84"/>
      <c r="AV114" s="84"/>
      <c r="AW114" s="84"/>
      <c r="AX114" s="84"/>
      <c r="AY114" s="84"/>
      <c r="AZ114" s="84"/>
      <c r="BA114" s="84"/>
      <c r="BB114" s="84"/>
    </row>
    <row r="115" spans="1:54" x14ac:dyDescent="0.2">
      <c r="A115" s="69" t="s">
        <v>414</v>
      </c>
      <c r="B115" s="69" t="s">
        <v>414</v>
      </c>
      <c r="C115" s="70"/>
      <c r="D115" s="71"/>
      <c r="E115" s="72"/>
      <c r="F115" s="73"/>
      <c r="G115" s="70"/>
      <c r="H115" s="74"/>
      <c r="I115" s="75"/>
      <c r="J115" s="75"/>
      <c r="K115" s="36"/>
      <c r="L115" s="82"/>
      <c r="M115" s="82"/>
      <c r="N115" s="77"/>
      <c r="O115" s="84" t="s">
        <v>179</v>
      </c>
      <c r="P115" s="86">
        <v>44023.948819444442</v>
      </c>
      <c r="Q115" s="84" t="s">
        <v>714</v>
      </c>
      <c r="R115" s="84"/>
      <c r="S115" s="84"/>
      <c r="T115" s="84" t="s">
        <v>849</v>
      </c>
      <c r="U115" s="87" t="str">
        <f>HYPERLINK("https://pbs.twimg.com/media/EcrgZE4XoAIZ8Ug.jpg")</f>
        <v>https://pbs.twimg.com/media/EcrgZE4XoAIZ8Ug.jpg</v>
      </c>
      <c r="V115" s="87" t="str">
        <f>HYPERLINK("https://pbs.twimg.com/media/EcrgZE4XoAIZ8Ug.jpg")</f>
        <v>https://pbs.twimg.com/media/EcrgZE4XoAIZ8Ug.jpg</v>
      </c>
      <c r="W115" s="86">
        <v>44023.948819444442</v>
      </c>
      <c r="X115" s="90">
        <v>44023</v>
      </c>
      <c r="Y115" s="92" t="s">
        <v>1185</v>
      </c>
      <c r="Z115" s="87" t="str">
        <f>HYPERLINK("https://twitter.com/jefferystraker/status/1282083823996600329")</f>
        <v>https://twitter.com/jefferystraker/status/1282083823996600329</v>
      </c>
      <c r="AA115" s="84"/>
      <c r="AB115" s="84"/>
      <c r="AC115" s="92" t="s">
        <v>1606</v>
      </c>
      <c r="AD115" s="84"/>
      <c r="AE115" s="84" t="b">
        <v>0</v>
      </c>
      <c r="AF115" s="84">
        <v>10</v>
      </c>
      <c r="AG115" s="92" t="s">
        <v>1724</v>
      </c>
      <c r="AH115" s="84" t="b">
        <v>0</v>
      </c>
      <c r="AI115" s="84" t="s">
        <v>1751</v>
      </c>
      <c r="AJ115" s="84"/>
      <c r="AK115" s="92" t="s">
        <v>1724</v>
      </c>
      <c r="AL115" s="84" t="b">
        <v>0</v>
      </c>
      <c r="AM115" s="84">
        <v>0</v>
      </c>
      <c r="AN115" s="92" t="s">
        <v>1724</v>
      </c>
      <c r="AO115" s="84" t="s">
        <v>1763</v>
      </c>
      <c r="AP115" s="84" t="b">
        <v>0</v>
      </c>
      <c r="AQ115" s="92" t="s">
        <v>1606</v>
      </c>
      <c r="AR115" s="84" t="s">
        <v>179</v>
      </c>
      <c r="AS115" s="84">
        <v>0</v>
      </c>
      <c r="AT115" s="84">
        <v>0</v>
      </c>
      <c r="AU115" s="84"/>
      <c r="AV115" s="84"/>
      <c r="AW115" s="84"/>
      <c r="AX115" s="84"/>
      <c r="AY115" s="84"/>
      <c r="AZ115" s="84"/>
      <c r="BA115" s="84"/>
      <c r="BB115" s="84"/>
    </row>
    <row r="116" spans="1:54" x14ac:dyDescent="0.2">
      <c r="A116" s="69" t="s">
        <v>413</v>
      </c>
      <c r="B116" s="69" t="s">
        <v>413</v>
      </c>
      <c r="C116" s="70"/>
      <c r="D116" s="71"/>
      <c r="E116" s="72"/>
      <c r="F116" s="73"/>
      <c r="G116" s="70"/>
      <c r="H116" s="74"/>
      <c r="I116" s="75"/>
      <c r="J116" s="75"/>
      <c r="K116" s="36"/>
      <c r="L116" s="82"/>
      <c r="M116" s="82"/>
      <c r="N116" s="77"/>
      <c r="O116" s="84" t="s">
        <v>179</v>
      </c>
      <c r="P116" s="86">
        <v>44023.944155092591</v>
      </c>
      <c r="Q116" s="84" t="s">
        <v>713</v>
      </c>
      <c r="R116" s="87" t="str">
        <f>HYPERLINK("https://twitter.com/FreeSuperhero1/status/1281818457911287809")</f>
        <v>https://twitter.com/FreeSuperhero1/status/1281818457911287809</v>
      </c>
      <c r="S116" s="84" t="s">
        <v>755</v>
      </c>
      <c r="T116" s="84" t="s">
        <v>848</v>
      </c>
      <c r="U116" s="84"/>
      <c r="V116" s="87" t="str">
        <f>HYPERLINK("http://pbs.twimg.com/profile_images/1268799406331113472/WFxWdEMQ_normal.jpg")</f>
        <v>http://pbs.twimg.com/profile_images/1268799406331113472/WFxWdEMQ_normal.jpg</v>
      </c>
      <c r="W116" s="86">
        <v>44023.944155092591</v>
      </c>
      <c r="X116" s="90">
        <v>44023</v>
      </c>
      <c r="Y116" s="92" t="s">
        <v>1184</v>
      </c>
      <c r="Z116" s="87" t="str">
        <f>HYPERLINK("https://twitter.com/trudyelliot/status/1282082136456077318")</f>
        <v>https://twitter.com/trudyelliot/status/1282082136456077318</v>
      </c>
      <c r="AA116" s="84"/>
      <c r="AB116" s="84"/>
      <c r="AC116" s="92" t="s">
        <v>1605</v>
      </c>
      <c r="AD116" s="84"/>
      <c r="AE116" s="84" t="b">
        <v>0</v>
      </c>
      <c r="AF116" s="84">
        <v>0</v>
      </c>
      <c r="AG116" s="92" t="s">
        <v>1724</v>
      </c>
      <c r="AH116" s="84" t="b">
        <v>1</v>
      </c>
      <c r="AI116" s="84" t="s">
        <v>1755</v>
      </c>
      <c r="AJ116" s="84"/>
      <c r="AK116" s="92" t="s">
        <v>1680</v>
      </c>
      <c r="AL116" s="84" t="b">
        <v>0</v>
      </c>
      <c r="AM116" s="84">
        <v>0</v>
      </c>
      <c r="AN116" s="92" t="s">
        <v>1724</v>
      </c>
      <c r="AO116" s="84" t="s">
        <v>1764</v>
      </c>
      <c r="AP116" s="84" t="b">
        <v>0</v>
      </c>
      <c r="AQ116" s="92" t="s">
        <v>1605</v>
      </c>
      <c r="AR116" s="84" t="s">
        <v>179</v>
      </c>
      <c r="AS116" s="84">
        <v>0</v>
      </c>
      <c r="AT116" s="84">
        <v>0</v>
      </c>
      <c r="AU116" s="84"/>
      <c r="AV116" s="84"/>
      <c r="AW116" s="84"/>
      <c r="AX116" s="84"/>
      <c r="AY116" s="84"/>
      <c r="AZ116" s="84"/>
      <c r="BA116" s="84"/>
      <c r="BB116" s="84"/>
    </row>
    <row r="117" spans="1:54" x14ac:dyDescent="0.2">
      <c r="A117" s="69" t="s">
        <v>412</v>
      </c>
      <c r="B117" s="69" t="s">
        <v>456</v>
      </c>
      <c r="C117" s="70"/>
      <c r="D117" s="71"/>
      <c r="E117" s="72"/>
      <c r="F117" s="73"/>
      <c r="G117" s="70"/>
      <c r="H117" s="74"/>
      <c r="I117" s="75"/>
      <c r="J117" s="75"/>
      <c r="K117" s="36"/>
      <c r="L117" s="82"/>
      <c r="M117" s="82"/>
      <c r="N117" s="77"/>
      <c r="O117" s="84" t="s">
        <v>500</v>
      </c>
      <c r="P117" s="86">
        <v>44023.942048611112</v>
      </c>
      <c r="Q117" s="84" t="s">
        <v>657</v>
      </c>
      <c r="R117" s="84"/>
      <c r="S117" s="84"/>
      <c r="T117" s="84" t="s">
        <v>834</v>
      </c>
      <c r="U117" s="84"/>
      <c r="V117" s="87" t="str">
        <f>HYPERLINK("http://pbs.twimg.com/profile_images/1223506914224394242/CQ4_UY6i_normal.jpg")</f>
        <v>http://pbs.twimg.com/profile_images/1223506914224394242/CQ4_UY6i_normal.jpg</v>
      </c>
      <c r="W117" s="86">
        <v>44023.942048611112</v>
      </c>
      <c r="X117" s="90">
        <v>44023</v>
      </c>
      <c r="Y117" s="92" t="s">
        <v>1183</v>
      </c>
      <c r="Z117" s="87" t="str">
        <f>HYPERLINK("https://twitter.com/shinebr10868153/status/1282081369577779200")</f>
        <v>https://twitter.com/shinebr10868153/status/1282081369577779200</v>
      </c>
      <c r="AA117" s="84"/>
      <c r="AB117" s="84"/>
      <c r="AC117" s="92" t="s">
        <v>1604</v>
      </c>
      <c r="AD117" s="84"/>
      <c r="AE117" s="84" t="b">
        <v>0</v>
      </c>
      <c r="AF117" s="84">
        <v>0</v>
      </c>
      <c r="AG117" s="92" t="s">
        <v>1724</v>
      </c>
      <c r="AH117" s="84" t="b">
        <v>0</v>
      </c>
      <c r="AI117" s="84" t="s">
        <v>1751</v>
      </c>
      <c r="AJ117" s="84"/>
      <c r="AK117" s="92" t="s">
        <v>1724</v>
      </c>
      <c r="AL117" s="84" t="b">
        <v>0</v>
      </c>
      <c r="AM117" s="84">
        <v>51</v>
      </c>
      <c r="AN117" s="92" t="s">
        <v>1680</v>
      </c>
      <c r="AO117" s="84" t="s">
        <v>1764</v>
      </c>
      <c r="AP117" s="84" t="b">
        <v>0</v>
      </c>
      <c r="AQ117" s="92" t="s">
        <v>1680</v>
      </c>
      <c r="AR117" s="84" t="s">
        <v>179</v>
      </c>
      <c r="AS117" s="84">
        <v>0</v>
      </c>
      <c r="AT117" s="84">
        <v>0</v>
      </c>
      <c r="AU117" s="84"/>
      <c r="AV117" s="84"/>
      <c r="AW117" s="84"/>
      <c r="AX117" s="84"/>
      <c r="AY117" s="84"/>
      <c r="AZ117" s="84"/>
      <c r="BA117" s="84"/>
      <c r="BB117" s="84"/>
    </row>
    <row r="118" spans="1:54" x14ac:dyDescent="0.2">
      <c r="A118" s="69" t="s">
        <v>411</v>
      </c>
      <c r="B118" s="69" t="s">
        <v>456</v>
      </c>
      <c r="C118" s="70"/>
      <c r="D118" s="71"/>
      <c r="E118" s="72"/>
      <c r="F118" s="73"/>
      <c r="G118" s="70"/>
      <c r="H118" s="74"/>
      <c r="I118" s="75"/>
      <c r="J118" s="75"/>
      <c r="K118" s="36"/>
      <c r="L118" s="82"/>
      <c r="M118" s="82"/>
      <c r="N118" s="77"/>
      <c r="O118" s="84" t="s">
        <v>500</v>
      </c>
      <c r="P118" s="86">
        <v>44023.938344907408</v>
      </c>
      <c r="Q118" s="84" t="s">
        <v>657</v>
      </c>
      <c r="R118" s="84"/>
      <c r="S118" s="84"/>
      <c r="T118" s="84" t="s">
        <v>834</v>
      </c>
      <c r="U118" s="84"/>
      <c r="V118" s="87" t="str">
        <f>HYPERLINK("http://pbs.twimg.com/profile_images/1250429290149072897/hiw6gx2s_normal.jpg")</f>
        <v>http://pbs.twimg.com/profile_images/1250429290149072897/hiw6gx2s_normal.jpg</v>
      </c>
      <c r="W118" s="86">
        <v>44023.938344907408</v>
      </c>
      <c r="X118" s="90">
        <v>44023</v>
      </c>
      <c r="Y118" s="92" t="s">
        <v>1182</v>
      </c>
      <c r="Z118" s="87" t="str">
        <f>HYPERLINK("https://twitter.com/mikemur69208563/status/1282080027362955265")</f>
        <v>https://twitter.com/mikemur69208563/status/1282080027362955265</v>
      </c>
      <c r="AA118" s="84"/>
      <c r="AB118" s="84"/>
      <c r="AC118" s="92" t="s">
        <v>1603</v>
      </c>
      <c r="AD118" s="84"/>
      <c r="AE118" s="84" t="b">
        <v>0</v>
      </c>
      <c r="AF118" s="84">
        <v>0</v>
      </c>
      <c r="AG118" s="92" t="s">
        <v>1724</v>
      </c>
      <c r="AH118" s="84" t="b">
        <v>0</v>
      </c>
      <c r="AI118" s="84" t="s">
        <v>1751</v>
      </c>
      <c r="AJ118" s="84"/>
      <c r="AK118" s="92" t="s">
        <v>1724</v>
      </c>
      <c r="AL118" s="84" t="b">
        <v>0</v>
      </c>
      <c r="AM118" s="84">
        <v>51</v>
      </c>
      <c r="AN118" s="92" t="s">
        <v>1680</v>
      </c>
      <c r="AO118" s="84" t="s">
        <v>1763</v>
      </c>
      <c r="AP118" s="84" t="b">
        <v>0</v>
      </c>
      <c r="AQ118" s="92" t="s">
        <v>1680</v>
      </c>
      <c r="AR118" s="84" t="s">
        <v>179</v>
      </c>
      <c r="AS118" s="84">
        <v>0</v>
      </c>
      <c r="AT118" s="84">
        <v>0</v>
      </c>
      <c r="AU118" s="84"/>
      <c r="AV118" s="84"/>
      <c r="AW118" s="84"/>
      <c r="AX118" s="84"/>
      <c r="AY118" s="84"/>
      <c r="AZ118" s="84"/>
      <c r="BA118" s="84"/>
      <c r="BB118" s="84"/>
    </row>
    <row r="119" spans="1:54" x14ac:dyDescent="0.2">
      <c r="A119" s="69" t="s">
        <v>410</v>
      </c>
      <c r="B119" s="69" t="s">
        <v>410</v>
      </c>
      <c r="C119" s="70"/>
      <c r="D119" s="71"/>
      <c r="E119" s="72"/>
      <c r="F119" s="73"/>
      <c r="G119" s="70"/>
      <c r="H119" s="74"/>
      <c r="I119" s="75"/>
      <c r="J119" s="75"/>
      <c r="K119" s="36"/>
      <c r="L119" s="82"/>
      <c r="M119" s="82"/>
      <c r="N119" s="77"/>
      <c r="O119" s="84" t="s">
        <v>179</v>
      </c>
      <c r="P119" s="86">
        <v>44023.936782407407</v>
      </c>
      <c r="Q119" s="84" t="s">
        <v>712</v>
      </c>
      <c r="R119" s="84"/>
      <c r="S119" s="84"/>
      <c r="T119" s="84" t="s">
        <v>781</v>
      </c>
      <c r="U119" s="87" t="str">
        <f>HYPERLINK("https://pbs.twimg.com/media/EcrcZEnVcAEiS14.png")</f>
        <v>https://pbs.twimg.com/media/EcrcZEnVcAEiS14.png</v>
      </c>
      <c r="V119" s="87" t="str">
        <f>HYPERLINK("https://pbs.twimg.com/media/EcrcZEnVcAEiS14.png")</f>
        <v>https://pbs.twimg.com/media/EcrcZEnVcAEiS14.png</v>
      </c>
      <c r="W119" s="86">
        <v>44023.936782407407</v>
      </c>
      <c r="X119" s="90">
        <v>44023</v>
      </c>
      <c r="Y119" s="92" t="s">
        <v>1181</v>
      </c>
      <c r="Z119" s="87" t="str">
        <f>HYPERLINK("https://twitter.com/momo99momo1/status/1282079464415879168")</f>
        <v>https://twitter.com/momo99momo1/status/1282079464415879168</v>
      </c>
      <c r="AA119" s="84"/>
      <c r="AB119" s="84"/>
      <c r="AC119" s="92" t="s">
        <v>1602</v>
      </c>
      <c r="AD119" s="84"/>
      <c r="AE119" s="84" t="b">
        <v>0</v>
      </c>
      <c r="AF119" s="84">
        <v>0</v>
      </c>
      <c r="AG119" s="92" t="s">
        <v>1724</v>
      </c>
      <c r="AH119" s="84" t="b">
        <v>0</v>
      </c>
      <c r="AI119" s="84" t="s">
        <v>1750</v>
      </c>
      <c r="AJ119" s="84"/>
      <c r="AK119" s="92" t="s">
        <v>1724</v>
      </c>
      <c r="AL119" s="84" t="b">
        <v>0</v>
      </c>
      <c r="AM119" s="84">
        <v>0</v>
      </c>
      <c r="AN119" s="92" t="s">
        <v>1724</v>
      </c>
      <c r="AO119" s="84" t="s">
        <v>1766</v>
      </c>
      <c r="AP119" s="84" t="b">
        <v>0</v>
      </c>
      <c r="AQ119" s="92" t="s">
        <v>1602</v>
      </c>
      <c r="AR119" s="84" t="s">
        <v>179</v>
      </c>
      <c r="AS119" s="84">
        <v>0</v>
      </c>
      <c r="AT119" s="84">
        <v>0</v>
      </c>
      <c r="AU119" s="84"/>
      <c r="AV119" s="84"/>
      <c r="AW119" s="84"/>
      <c r="AX119" s="84"/>
      <c r="AY119" s="84"/>
      <c r="AZ119" s="84"/>
      <c r="BA119" s="84"/>
      <c r="BB119" s="84"/>
    </row>
    <row r="120" spans="1:54" x14ac:dyDescent="0.2">
      <c r="A120" s="69" t="s">
        <v>409</v>
      </c>
      <c r="B120" s="69" t="s">
        <v>409</v>
      </c>
      <c r="C120" s="70"/>
      <c r="D120" s="71"/>
      <c r="E120" s="72"/>
      <c r="F120" s="73"/>
      <c r="G120" s="70"/>
      <c r="H120" s="74"/>
      <c r="I120" s="75"/>
      <c r="J120" s="75"/>
      <c r="K120" s="36"/>
      <c r="L120" s="82"/>
      <c r="M120" s="82"/>
      <c r="N120" s="77"/>
      <c r="O120" s="84" t="s">
        <v>179</v>
      </c>
      <c r="P120" s="86">
        <v>44023.92759259259</v>
      </c>
      <c r="Q120" s="84" t="s">
        <v>707</v>
      </c>
      <c r="R120" s="84"/>
      <c r="S120" s="84"/>
      <c r="T120" s="84" t="s">
        <v>781</v>
      </c>
      <c r="U120" s="84"/>
      <c r="V120" s="87" t="str">
        <f>HYPERLINK("http://pbs.twimg.com/profile_images/1236668333157519361/R8t7DbMO_normal.jpg")</f>
        <v>http://pbs.twimg.com/profile_images/1236668333157519361/R8t7DbMO_normal.jpg</v>
      </c>
      <c r="W120" s="86">
        <v>44023.92759259259</v>
      </c>
      <c r="X120" s="90">
        <v>44023</v>
      </c>
      <c r="Y120" s="92" t="s">
        <v>1176</v>
      </c>
      <c r="Z120" s="87" t="str">
        <f>HYPERLINK("https://twitter.com/sinxsan/status/1282076130741121025")</f>
        <v>https://twitter.com/sinxsan/status/1282076130741121025</v>
      </c>
      <c r="AA120" s="84"/>
      <c r="AB120" s="84"/>
      <c r="AC120" s="92" t="s">
        <v>1597</v>
      </c>
      <c r="AD120" s="92" t="s">
        <v>1596</v>
      </c>
      <c r="AE120" s="84" t="b">
        <v>0</v>
      </c>
      <c r="AF120" s="84">
        <v>0</v>
      </c>
      <c r="AG120" s="92" t="s">
        <v>1740</v>
      </c>
      <c r="AH120" s="84" t="b">
        <v>0</v>
      </c>
      <c r="AI120" s="84" t="s">
        <v>1750</v>
      </c>
      <c r="AJ120" s="84"/>
      <c r="AK120" s="92" t="s">
        <v>1724</v>
      </c>
      <c r="AL120" s="84" t="b">
        <v>0</v>
      </c>
      <c r="AM120" s="84">
        <v>0</v>
      </c>
      <c r="AN120" s="92" t="s">
        <v>1724</v>
      </c>
      <c r="AO120" s="84" t="s">
        <v>1763</v>
      </c>
      <c r="AP120" s="84" t="b">
        <v>0</v>
      </c>
      <c r="AQ120" s="92" t="s">
        <v>1596</v>
      </c>
      <c r="AR120" s="84" t="s">
        <v>179</v>
      </c>
      <c r="AS120" s="84">
        <v>0</v>
      </c>
      <c r="AT120" s="84">
        <v>0</v>
      </c>
      <c r="AU120" s="84"/>
      <c r="AV120" s="84"/>
      <c r="AW120" s="84"/>
      <c r="AX120" s="84"/>
      <c r="AY120" s="84"/>
      <c r="AZ120" s="84"/>
      <c r="BA120" s="84"/>
      <c r="BB120" s="84"/>
    </row>
    <row r="121" spans="1:54" x14ac:dyDescent="0.2">
      <c r="A121" s="69" t="s">
        <v>408</v>
      </c>
      <c r="B121" s="69" t="s">
        <v>408</v>
      </c>
      <c r="C121" s="70"/>
      <c r="D121" s="71"/>
      <c r="E121" s="72"/>
      <c r="F121" s="73"/>
      <c r="G121" s="70"/>
      <c r="H121" s="74"/>
      <c r="I121" s="75"/>
      <c r="J121" s="75"/>
      <c r="K121" s="36"/>
      <c r="L121" s="82"/>
      <c r="M121" s="82"/>
      <c r="N121" s="77"/>
      <c r="O121" s="84" t="s">
        <v>179</v>
      </c>
      <c r="P121" s="86">
        <v>44023.897013888891</v>
      </c>
      <c r="Q121" s="84" t="s">
        <v>699</v>
      </c>
      <c r="R121" s="84"/>
      <c r="S121" s="84"/>
      <c r="T121" s="84" t="s">
        <v>847</v>
      </c>
      <c r="U121" s="87" t="str">
        <f>HYPERLINK("https://pbs.twimg.com/media/EcrPXdDU8AAwTL1.jpg")</f>
        <v>https://pbs.twimg.com/media/EcrPXdDU8AAwTL1.jpg</v>
      </c>
      <c r="V121" s="87" t="str">
        <f>HYPERLINK("https://pbs.twimg.com/media/EcrPXdDU8AAwTL1.jpg")</f>
        <v>https://pbs.twimg.com/media/EcrPXdDU8AAwTL1.jpg</v>
      </c>
      <c r="W121" s="86">
        <v>44023.897013888891</v>
      </c>
      <c r="X121" s="90">
        <v>44023</v>
      </c>
      <c r="Y121" s="92" t="s">
        <v>1157</v>
      </c>
      <c r="Z121" s="87" t="str">
        <f>HYPERLINK("https://twitter.com/hirocos2/status/1282065049935208448")</f>
        <v>https://twitter.com/hirocos2/status/1282065049935208448</v>
      </c>
      <c r="AA121" s="84"/>
      <c r="AB121" s="84"/>
      <c r="AC121" s="92" t="s">
        <v>1578</v>
      </c>
      <c r="AD121" s="84"/>
      <c r="AE121" s="84" t="b">
        <v>0</v>
      </c>
      <c r="AF121" s="84">
        <v>18</v>
      </c>
      <c r="AG121" s="92" t="s">
        <v>1724</v>
      </c>
      <c r="AH121" s="84" t="b">
        <v>0</v>
      </c>
      <c r="AI121" s="84" t="s">
        <v>1750</v>
      </c>
      <c r="AJ121" s="84"/>
      <c r="AK121" s="92" t="s">
        <v>1724</v>
      </c>
      <c r="AL121" s="84" t="b">
        <v>0</v>
      </c>
      <c r="AM121" s="84">
        <v>0</v>
      </c>
      <c r="AN121" s="92" t="s">
        <v>1724</v>
      </c>
      <c r="AO121" s="84" t="s">
        <v>1763</v>
      </c>
      <c r="AP121" s="84" t="b">
        <v>0</v>
      </c>
      <c r="AQ121" s="92" t="s">
        <v>1578</v>
      </c>
      <c r="AR121" s="84" t="s">
        <v>179</v>
      </c>
      <c r="AS121" s="84">
        <v>0</v>
      </c>
      <c r="AT121" s="84">
        <v>0</v>
      </c>
      <c r="AU121" s="84"/>
      <c r="AV121" s="84"/>
      <c r="AW121" s="84"/>
      <c r="AX121" s="84"/>
      <c r="AY121" s="84"/>
      <c r="AZ121" s="84"/>
      <c r="BA121" s="84"/>
      <c r="BB121" s="84"/>
    </row>
    <row r="122" spans="1:54" x14ac:dyDescent="0.2">
      <c r="A122" s="69" t="s">
        <v>407</v>
      </c>
      <c r="B122" s="69" t="s">
        <v>407</v>
      </c>
      <c r="C122" s="70"/>
      <c r="D122" s="71"/>
      <c r="E122" s="72"/>
      <c r="F122" s="73"/>
      <c r="G122" s="70"/>
      <c r="H122" s="74"/>
      <c r="I122" s="75"/>
      <c r="J122" s="75"/>
      <c r="K122" s="36"/>
      <c r="L122" s="82"/>
      <c r="M122" s="82"/>
      <c r="N122" s="77"/>
      <c r="O122" s="84" t="s">
        <v>179</v>
      </c>
      <c r="P122" s="86">
        <v>44023.890231481484</v>
      </c>
      <c r="Q122" s="84" t="s">
        <v>691</v>
      </c>
      <c r="R122" s="84"/>
      <c r="S122" s="84"/>
      <c r="T122" s="84" t="s">
        <v>781</v>
      </c>
      <c r="U122" s="87" t="str">
        <f>HYPERLINK("https://pbs.twimg.com/media/EcrNIK4UcAI19Fz.jpg")</f>
        <v>https://pbs.twimg.com/media/EcrNIK4UcAI19Fz.jpg</v>
      </c>
      <c r="V122" s="87" t="str">
        <f>HYPERLINK("https://pbs.twimg.com/media/EcrNIK4UcAI19Fz.jpg")</f>
        <v>https://pbs.twimg.com/media/EcrNIK4UcAI19Fz.jpg</v>
      </c>
      <c r="W122" s="86">
        <v>44023.890231481484</v>
      </c>
      <c r="X122" s="90">
        <v>44023</v>
      </c>
      <c r="Y122" s="92" t="s">
        <v>1146</v>
      </c>
      <c r="Z122" s="87" t="str">
        <f>HYPERLINK("https://twitter.com/55yankeee/status/1282062591473287168")</f>
        <v>https://twitter.com/55yankeee/status/1282062591473287168</v>
      </c>
      <c r="AA122" s="84"/>
      <c r="AB122" s="84"/>
      <c r="AC122" s="92" t="s">
        <v>1567</v>
      </c>
      <c r="AD122" s="84"/>
      <c r="AE122" s="84" t="b">
        <v>0</v>
      </c>
      <c r="AF122" s="84">
        <v>5</v>
      </c>
      <c r="AG122" s="92" t="s">
        <v>1724</v>
      </c>
      <c r="AH122" s="84" t="b">
        <v>0</v>
      </c>
      <c r="AI122" s="84" t="s">
        <v>1750</v>
      </c>
      <c r="AJ122" s="84"/>
      <c r="AK122" s="92" t="s">
        <v>1724</v>
      </c>
      <c r="AL122" s="84" t="b">
        <v>0</v>
      </c>
      <c r="AM122" s="84">
        <v>0</v>
      </c>
      <c r="AN122" s="92" t="s">
        <v>1724</v>
      </c>
      <c r="AO122" s="84" t="s">
        <v>1763</v>
      </c>
      <c r="AP122" s="84" t="b">
        <v>0</v>
      </c>
      <c r="AQ122" s="92" t="s">
        <v>1567</v>
      </c>
      <c r="AR122" s="84" t="s">
        <v>179</v>
      </c>
      <c r="AS122" s="84">
        <v>0</v>
      </c>
      <c r="AT122" s="84">
        <v>0</v>
      </c>
      <c r="AU122" s="84"/>
      <c r="AV122" s="84"/>
      <c r="AW122" s="84"/>
      <c r="AX122" s="84"/>
      <c r="AY122" s="84"/>
      <c r="AZ122" s="84"/>
      <c r="BA122" s="84"/>
      <c r="BB122" s="84"/>
    </row>
    <row r="123" spans="1:54" x14ac:dyDescent="0.2">
      <c r="A123" s="69" t="s">
        <v>406</v>
      </c>
      <c r="B123" s="69" t="s">
        <v>420</v>
      </c>
      <c r="C123" s="70"/>
      <c r="D123" s="71"/>
      <c r="E123" s="72"/>
      <c r="F123" s="73"/>
      <c r="G123" s="70"/>
      <c r="H123" s="74"/>
      <c r="I123" s="75"/>
      <c r="J123" s="75"/>
      <c r="K123" s="36"/>
      <c r="L123" s="82"/>
      <c r="M123" s="82"/>
      <c r="N123" s="77"/>
      <c r="O123" s="84" t="s">
        <v>500</v>
      </c>
      <c r="P123" s="86">
        <v>44023.88349537037</v>
      </c>
      <c r="Q123" s="84" t="s">
        <v>690</v>
      </c>
      <c r="R123" s="87" t="str">
        <f>HYPERLINK("https://representltd.com/")</f>
        <v>https://representltd.com/</v>
      </c>
      <c r="S123" s="84" t="s">
        <v>776</v>
      </c>
      <c r="T123" s="84" t="s">
        <v>844</v>
      </c>
      <c r="U123" s="84"/>
      <c r="V123" s="87" t="str">
        <f>HYPERLINK("http://pbs.twimg.com/profile_images/1279406078690721792/hUsQCicf_normal.jpg")</f>
        <v>http://pbs.twimg.com/profile_images/1279406078690721792/hUsQCicf_normal.jpg</v>
      </c>
      <c r="W123" s="86">
        <v>44023.88349537037</v>
      </c>
      <c r="X123" s="90">
        <v>44023</v>
      </c>
      <c r="Y123" s="92" t="s">
        <v>1144</v>
      </c>
      <c r="Z123" s="87" t="str">
        <f>HYPERLINK("https://twitter.com/thekaratekid83/status/1282060153546842112")</f>
        <v>https://twitter.com/thekaratekid83/status/1282060153546842112</v>
      </c>
      <c r="AA123" s="84"/>
      <c r="AB123" s="84"/>
      <c r="AC123" s="92" t="s">
        <v>1565</v>
      </c>
      <c r="AD123" s="84"/>
      <c r="AE123" s="84" t="b">
        <v>0</v>
      </c>
      <c r="AF123" s="84">
        <v>0</v>
      </c>
      <c r="AG123" s="92" t="s">
        <v>1724</v>
      </c>
      <c r="AH123" s="84" t="b">
        <v>0</v>
      </c>
      <c r="AI123" s="84" t="s">
        <v>1751</v>
      </c>
      <c r="AJ123" s="84"/>
      <c r="AK123" s="92" t="s">
        <v>1724</v>
      </c>
      <c r="AL123" s="84" t="b">
        <v>0</v>
      </c>
      <c r="AM123" s="84">
        <v>2</v>
      </c>
      <c r="AN123" s="92" t="s">
        <v>1613</v>
      </c>
      <c r="AO123" s="84" t="s">
        <v>1763</v>
      </c>
      <c r="AP123" s="84" t="b">
        <v>0</v>
      </c>
      <c r="AQ123" s="92" t="s">
        <v>1613</v>
      </c>
      <c r="AR123" s="84" t="s">
        <v>179</v>
      </c>
      <c r="AS123" s="84">
        <v>0</v>
      </c>
      <c r="AT123" s="84">
        <v>0</v>
      </c>
      <c r="AU123" s="84"/>
      <c r="AV123" s="84"/>
      <c r="AW123" s="84"/>
      <c r="AX123" s="84"/>
      <c r="AY123" s="84"/>
      <c r="AZ123" s="84"/>
      <c r="BA123" s="84"/>
      <c r="BB123" s="84"/>
    </row>
    <row r="124" spans="1:54" x14ac:dyDescent="0.2">
      <c r="A124" s="69" t="s">
        <v>420</v>
      </c>
      <c r="B124" s="69" t="s">
        <v>420</v>
      </c>
      <c r="C124" s="70"/>
      <c r="D124" s="71"/>
      <c r="E124" s="72"/>
      <c r="F124" s="73"/>
      <c r="G124" s="70"/>
      <c r="H124" s="74"/>
      <c r="I124" s="75"/>
      <c r="J124" s="75"/>
      <c r="K124" s="36"/>
      <c r="L124" s="82"/>
      <c r="M124" s="82"/>
      <c r="N124" s="77"/>
      <c r="O124" s="84" t="s">
        <v>179</v>
      </c>
      <c r="P124" s="86">
        <v>44023.873240740744</v>
      </c>
      <c r="Q124" s="84" t="s">
        <v>690</v>
      </c>
      <c r="R124" s="87" t="str">
        <f>HYPERLINK("https://representltd.com/")</f>
        <v>https://representltd.com/</v>
      </c>
      <c r="S124" s="84" t="s">
        <v>776</v>
      </c>
      <c r="T124" s="84" t="s">
        <v>850</v>
      </c>
      <c r="U124" s="87" t="str">
        <f>HYPERLINK("https://pbs.twimg.com/media/EcrHiKrU4AAZ6-4.jpg")</f>
        <v>https://pbs.twimg.com/media/EcrHiKrU4AAZ6-4.jpg</v>
      </c>
      <c r="V124" s="87" t="str">
        <f>HYPERLINK("https://pbs.twimg.com/media/EcrHiKrU4AAZ6-4.jpg")</f>
        <v>https://pbs.twimg.com/media/EcrHiKrU4AAZ6-4.jpg</v>
      </c>
      <c r="W124" s="86">
        <v>44023.873240740744</v>
      </c>
      <c r="X124" s="90">
        <v>44023</v>
      </c>
      <c r="Y124" s="92" t="s">
        <v>1192</v>
      </c>
      <c r="Z124" s="87" t="str">
        <f>HYPERLINK("https://twitter.com/representltd/status/1282056436915113984")</f>
        <v>https://twitter.com/representltd/status/1282056436915113984</v>
      </c>
      <c r="AA124" s="84"/>
      <c r="AB124" s="84"/>
      <c r="AC124" s="92" t="s">
        <v>1613</v>
      </c>
      <c r="AD124" s="84"/>
      <c r="AE124" s="84" t="b">
        <v>0</v>
      </c>
      <c r="AF124" s="84">
        <v>5</v>
      </c>
      <c r="AG124" s="92" t="s">
        <v>1724</v>
      </c>
      <c r="AH124" s="84" t="b">
        <v>0</v>
      </c>
      <c r="AI124" s="84" t="s">
        <v>1751</v>
      </c>
      <c r="AJ124" s="84"/>
      <c r="AK124" s="92" t="s">
        <v>1724</v>
      </c>
      <c r="AL124" s="84" t="b">
        <v>0</v>
      </c>
      <c r="AM124" s="84">
        <v>2</v>
      </c>
      <c r="AN124" s="92" t="s">
        <v>1724</v>
      </c>
      <c r="AO124" s="84" t="s">
        <v>1763</v>
      </c>
      <c r="AP124" s="84" t="b">
        <v>0</v>
      </c>
      <c r="AQ124" s="92" t="s">
        <v>1613</v>
      </c>
      <c r="AR124" s="84" t="s">
        <v>179</v>
      </c>
      <c r="AS124" s="84">
        <v>0</v>
      </c>
      <c r="AT124" s="84">
        <v>0</v>
      </c>
      <c r="AU124" s="84"/>
      <c r="AV124" s="84"/>
      <c r="AW124" s="84"/>
      <c r="AX124" s="84"/>
      <c r="AY124" s="84"/>
      <c r="AZ124" s="84"/>
      <c r="BA124" s="84"/>
      <c r="BB124" s="84"/>
    </row>
    <row r="125" spans="1:54" x14ac:dyDescent="0.2">
      <c r="A125" s="69" t="s">
        <v>405</v>
      </c>
      <c r="B125" s="69" t="s">
        <v>404</v>
      </c>
      <c r="C125" s="70"/>
      <c r="D125" s="71"/>
      <c r="E125" s="72"/>
      <c r="F125" s="73"/>
      <c r="G125" s="70"/>
      <c r="H125" s="74"/>
      <c r="I125" s="75"/>
      <c r="J125" s="75"/>
      <c r="K125" s="36"/>
      <c r="L125" s="82"/>
      <c r="M125" s="82"/>
      <c r="N125" s="77"/>
      <c r="O125" s="84" t="s">
        <v>500</v>
      </c>
      <c r="P125" s="86">
        <v>44023.868692129632</v>
      </c>
      <c r="Q125" s="84" t="s">
        <v>689</v>
      </c>
      <c r="R125" s="84"/>
      <c r="S125" s="84"/>
      <c r="T125" s="84"/>
      <c r="U125" s="84"/>
      <c r="V125" s="87" t="str">
        <f>HYPERLINK("http://pbs.twimg.com/profile_images/1253429257130270721/HzgaDbaa_normal.jpg")</f>
        <v>http://pbs.twimg.com/profile_images/1253429257130270721/HzgaDbaa_normal.jpg</v>
      </c>
      <c r="W125" s="86">
        <v>44023.868692129632</v>
      </c>
      <c r="X125" s="90">
        <v>44023</v>
      </c>
      <c r="Y125" s="92" t="s">
        <v>1143</v>
      </c>
      <c r="Z125" s="87" t="str">
        <f>HYPERLINK("https://twitter.com/sire_salehan/status/1282054786674765826")</f>
        <v>https://twitter.com/sire_salehan/status/1282054786674765826</v>
      </c>
      <c r="AA125" s="84"/>
      <c r="AB125" s="84"/>
      <c r="AC125" s="92" t="s">
        <v>1564</v>
      </c>
      <c r="AD125" s="84"/>
      <c r="AE125" s="84" t="b">
        <v>0</v>
      </c>
      <c r="AF125" s="84">
        <v>0</v>
      </c>
      <c r="AG125" s="92" t="s">
        <v>1724</v>
      </c>
      <c r="AH125" s="84" t="b">
        <v>0</v>
      </c>
      <c r="AI125" s="84" t="s">
        <v>1751</v>
      </c>
      <c r="AJ125" s="84"/>
      <c r="AK125" s="92" t="s">
        <v>1724</v>
      </c>
      <c r="AL125" s="84" t="b">
        <v>0</v>
      </c>
      <c r="AM125" s="84">
        <v>1</v>
      </c>
      <c r="AN125" s="92" t="s">
        <v>1563</v>
      </c>
      <c r="AO125" s="84" t="s">
        <v>1764</v>
      </c>
      <c r="AP125" s="84" t="b">
        <v>0</v>
      </c>
      <c r="AQ125" s="92" t="s">
        <v>1563</v>
      </c>
      <c r="AR125" s="84" t="s">
        <v>179</v>
      </c>
      <c r="AS125" s="84">
        <v>0</v>
      </c>
      <c r="AT125" s="84">
        <v>0</v>
      </c>
      <c r="AU125" s="84"/>
      <c r="AV125" s="84"/>
      <c r="AW125" s="84"/>
      <c r="AX125" s="84"/>
      <c r="AY125" s="84"/>
      <c r="AZ125" s="84"/>
      <c r="BA125" s="84"/>
      <c r="BB125" s="84"/>
    </row>
    <row r="126" spans="1:54" x14ac:dyDescent="0.2">
      <c r="A126" s="69" t="s">
        <v>403</v>
      </c>
      <c r="B126" s="69" t="s">
        <v>456</v>
      </c>
      <c r="C126" s="70"/>
      <c r="D126" s="71"/>
      <c r="E126" s="72"/>
      <c r="F126" s="73"/>
      <c r="G126" s="70"/>
      <c r="H126" s="74"/>
      <c r="I126" s="75"/>
      <c r="J126" s="75"/>
      <c r="K126" s="36"/>
      <c r="L126" s="82"/>
      <c r="M126" s="82"/>
      <c r="N126" s="77"/>
      <c r="O126" s="84" t="s">
        <v>500</v>
      </c>
      <c r="P126" s="86">
        <v>44023.857893518521</v>
      </c>
      <c r="Q126" s="84" t="s">
        <v>657</v>
      </c>
      <c r="R126" s="84"/>
      <c r="S126" s="84"/>
      <c r="T126" s="84" t="s">
        <v>834</v>
      </c>
      <c r="U126" s="84"/>
      <c r="V126" s="87" t="str">
        <f>HYPERLINK("http://pbs.twimg.com/profile_images/1237660299840204801/fSXHxexb_normal.jpg")</f>
        <v>http://pbs.twimg.com/profile_images/1237660299840204801/fSXHxexb_normal.jpg</v>
      </c>
      <c r="W126" s="86">
        <v>44023.857893518521</v>
      </c>
      <c r="X126" s="90">
        <v>44023</v>
      </c>
      <c r="Y126" s="92" t="s">
        <v>1141</v>
      </c>
      <c r="Z126" s="87" t="str">
        <f>HYPERLINK("https://twitter.com/candyace/status/1282050876559912960")</f>
        <v>https://twitter.com/candyace/status/1282050876559912960</v>
      </c>
      <c r="AA126" s="84"/>
      <c r="AB126" s="84"/>
      <c r="AC126" s="92" t="s">
        <v>1562</v>
      </c>
      <c r="AD126" s="84"/>
      <c r="AE126" s="84" t="b">
        <v>0</v>
      </c>
      <c r="AF126" s="84">
        <v>0</v>
      </c>
      <c r="AG126" s="92" t="s">
        <v>1724</v>
      </c>
      <c r="AH126" s="84" t="b">
        <v>0</v>
      </c>
      <c r="AI126" s="84" t="s">
        <v>1751</v>
      </c>
      <c r="AJ126" s="84"/>
      <c r="AK126" s="92" t="s">
        <v>1724</v>
      </c>
      <c r="AL126" s="84" t="b">
        <v>0</v>
      </c>
      <c r="AM126" s="84">
        <v>51</v>
      </c>
      <c r="AN126" s="92" t="s">
        <v>1680</v>
      </c>
      <c r="AO126" s="84" t="s">
        <v>1763</v>
      </c>
      <c r="AP126" s="84" t="b">
        <v>0</v>
      </c>
      <c r="AQ126" s="92" t="s">
        <v>1680</v>
      </c>
      <c r="AR126" s="84" t="s">
        <v>179</v>
      </c>
      <c r="AS126" s="84">
        <v>0</v>
      </c>
      <c r="AT126" s="84">
        <v>0</v>
      </c>
      <c r="AU126" s="84"/>
      <c r="AV126" s="84"/>
      <c r="AW126" s="84"/>
      <c r="AX126" s="84"/>
      <c r="AY126" s="84"/>
      <c r="AZ126" s="84"/>
      <c r="BA126" s="84"/>
      <c r="BB126" s="84"/>
    </row>
    <row r="127" spans="1:54" x14ac:dyDescent="0.2">
      <c r="A127" s="69" t="s">
        <v>402</v>
      </c>
      <c r="B127" s="69" t="s">
        <v>456</v>
      </c>
      <c r="C127" s="70"/>
      <c r="D127" s="71"/>
      <c r="E127" s="72"/>
      <c r="F127" s="73"/>
      <c r="G127" s="70"/>
      <c r="H127" s="74"/>
      <c r="I127" s="75"/>
      <c r="J127" s="75"/>
      <c r="K127" s="36"/>
      <c r="L127" s="82"/>
      <c r="M127" s="82"/>
      <c r="N127" s="77"/>
      <c r="O127" s="84" t="s">
        <v>500</v>
      </c>
      <c r="P127" s="86">
        <v>44023.842407407406</v>
      </c>
      <c r="Q127" s="84" t="s">
        <v>657</v>
      </c>
      <c r="R127" s="84"/>
      <c r="S127" s="84"/>
      <c r="T127" s="84" t="s">
        <v>834</v>
      </c>
      <c r="U127" s="84"/>
      <c r="V127" s="87" t="str">
        <f>HYPERLINK("http://pbs.twimg.com/profile_images/1264023045372608517/G5N9unQY_normal.jpg")</f>
        <v>http://pbs.twimg.com/profile_images/1264023045372608517/G5N9unQY_normal.jpg</v>
      </c>
      <c r="W127" s="86">
        <v>44023.842407407406</v>
      </c>
      <c r="X127" s="90">
        <v>44023</v>
      </c>
      <c r="Y127" s="92" t="s">
        <v>1140</v>
      </c>
      <c r="Z127" s="87" t="str">
        <f>HYPERLINK("https://twitter.com/hurrywakeupnow/status/1282045264476491776")</f>
        <v>https://twitter.com/hurrywakeupnow/status/1282045264476491776</v>
      </c>
      <c r="AA127" s="84"/>
      <c r="AB127" s="84"/>
      <c r="AC127" s="92" t="s">
        <v>1561</v>
      </c>
      <c r="AD127" s="84"/>
      <c r="AE127" s="84" t="b">
        <v>0</v>
      </c>
      <c r="AF127" s="84">
        <v>0</v>
      </c>
      <c r="AG127" s="92" t="s">
        <v>1724</v>
      </c>
      <c r="AH127" s="84" t="b">
        <v>0</v>
      </c>
      <c r="AI127" s="84" t="s">
        <v>1751</v>
      </c>
      <c r="AJ127" s="84"/>
      <c r="AK127" s="92" t="s">
        <v>1724</v>
      </c>
      <c r="AL127" s="84" t="b">
        <v>0</v>
      </c>
      <c r="AM127" s="84">
        <v>51</v>
      </c>
      <c r="AN127" s="92" t="s">
        <v>1680</v>
      </c>
      <c r="AO127" s="84" t="s">
        <v>1763</v>
      </c>
      <c r="AP127" s="84" t="b">
        <v>0</v>
      </c>
      <c r="AQ127" s="92" t="s">
        <v>1680</v>
      </c>
      <c r="AR127" s="84" t="s">
        <v>179</v>
      </c>
      <c r="AS127" s="84">
        <v>0</v>
      </c>
      <c r="AT127" s="84">
        <v>0</v>
      </c>
      <c r="AU127" s="84"/>
      <c r="AV127" s="84"/>
      <c r="AW127" s="84"/>
      <c r="AX127" s="84"/>
      <c r="AY127" s="84"/>
      <c r="AZ127" s="84"/>
      <c r="BA127" s="84"/>
      <c r="BB127" s="84"/>
    </row>
    <row r="128" spans="1:54" x14ac:dyDescent="0.2">
      <c r="A128" s="69" t="s">
        <v>401</v>
      </c>
      <c r="B128" s="69" t="s">
        <v>456</v>
      </c>
      <c r="C128" s="70"/>
      <c r="D128" s="71"/>
      <c r="E128" s="72"/>
      <c r="F128" s="73"/>
      <c r="G128" s="70"/>
      <c r="H128" s="74"/>
      <c r="I128" s="75"/>
      <c r="J128" s="75"/>
      <c r="K128" s="36"/>
      <c r="L128" s="82"/>
      <c r="M128" s="82"/>
      <c r="N128" s="77"/>
      <c r="O128" s="84" t="s">
        <v>500</v>
      </c>
      <c r="P128" s="86">
        <v>44023.821539351855</v>
      </c>
      <c r="Q128" s="84" t="s">
        <v>657</v>
      </c>
      <c r="R128" s="84"/>
      <c r="S128" s="84"/>
      <c r="T128" s="84" t="s">
        <v>834</v>
      </c>
      <c r="U128" s="84"/>
      <c r="V128" s="87" t="str">
        <f>HYPERLINK("http://pbs.twimg.com/profile_images/1281670315454509056/MeS--c2h_normal.jpg")</f>
        <v>http://pbs.twimg.com/profile_images/1281670315454509056/MeS--c2h_normal.jpg</v>
      </c>
      <c r="W128" s="86">
        <v>44023.821539351855</v>
      </c>
      <c r="X128" s="90">
        <v>44023</v>
      </c>
      <c r="Y128" s="92" t="s">
        <v>1139</v>
      </c>
      <c r="Z128" s="87" t="str">
        <f>HYPERLINK("https://twitter.com/warteambravo/status/1282037698564288513")</f>
        <v>https://twitter.com/warteambravo/status/1282037698564288513</v>
      </c>
      <c r="AA128" s="84"/>
      <c r="AB128" s="84"/>
      <c r="AC128" s="92" t="s">
        <v>1560</v>
      </c>
      <c r="AD128" s="84"/>
      <c r="AE128" s="84" t="b">
        <v>0</v>
      </c>
      <c r="AF128" s="84">
        <v>0</v>
      </c>
      <c r="AG128" s="92" t="s">
        <v>1724</v>
      </c>
      <c r="AH128" s="84" t="b">
        <v>0</v>
      </c>
      <c r="AI128" s="84" t="s">
        <v>1751</v>
      </c>
      <c r="AJ128" s="84"/>
      <c r="AK128" s="92" t="s">
        <v>1724</v>
      </c>
      <c r="AL128" s="84" t="b">
        <v>0</v>
      </c>
      <c r="AM128" s="84">
        <v>51</v>
      </c>
      <c r="AN128" s="92" t="s">
        <v>1680</v>
      </c>
      <c r="AO128" s="84" t="s">
        <v>1763</v>
      </c>
      <c r="AP128" s="84" t="b">
        <v>0</v>
      </c>
      <c r="AQ128" s="92" t="s">
        <v>1680</v>
      </c>
      <c r="AR128" s="84" t="s">
        <v>179</v>
      </c>
      <c r="AS128" s="84">
        <v>0</v>
      </c>
      <c r="AT128" s="84">
        <v>0</v>
      </c>
      <c r="AU128" s="84"/>
      <c r="AV128" s="84"/>
      <c r="AW128" s="84"/>
      <c r="AX128" s="84"/>
      <c r="AY128" s="84"/>
      <c r="AZ128" s="84"/>
      <c r="BA128" s="84"/>
      <c r="BB128" s="84"/>
    </row>
    <row r="129" spans="1:54" x14ac:dyDescent="0.2">
      <c r="A129" s="69" t="s">
        <v>400</v>
      </c>
      <c r="B129" s="69" t="s">
        <v>400</v>
      </c>
      <c r="C129" s="70"/>
      <c r="D129" s="71"/>
      <c r="E129" s="72"/>
      <c r="F129" s="73"/>
      <c r="G129" s="70"/>
      <c r="H129" s="74"/>
      <c r="I129" s="75"/>
      <c r="J129" s="75"/>
      <c r="K129" s="36"/>
      <c r="L129" s="82"/>
      <c r="M129" s="82"/>
      <c r="N129" s="77"/>
      <c r="O129" s="84" t="s">
        <v>179</v>
      </c>
      <c r="P129" s="86">
        <v>44023.812777777777</v>
      </c>
      <c r="Q129" s="84" t="s">
        <v>586</v>
      </c>
      <c r="R129" s="87" t="str">
        <f>HYPERLINK("https://m.facebook.com/anunknownkraftsman")</f>
        <v>https://m.facebook.com/anunknownkraftsman</v>
      </c>
      <c r="S129" s="84" t="s">
        <v>772</v>
      </c>
      <c r="T129" s="84" t="s">
        <v>842</v>
      </c>
      <c r="U129" s="84"/>
      <c r="V129" s="87" t="str">
        <f>HYPERLINK("http://pbs.twimg.com/profile_images/1142556013167632391/vMubfzN-_normal.jpg")</f>
        <v>http://pbs.twimg.com/profile_images/1142556013167632391/vMubfzN-_normal.jpg</v>
      </c>
      <c r="W129" s="86">
        <v>44023.812777777777</v>
      </c>
      <c r="X129" s="90">
        <v>44023</v>
      </c>
      <c r="Y129" s="92" t="s">
        <v>1138</v>
      </c>
      <c r="Z129" s="87" t="str">
        <f>HYPERLINK("https://twitter.com/hc_mmoor1868/status/1282034523459457027")</f>
        <v>https://twitter.com/hc_mmoor1868/status/1282034523459457027</v>
      </c>
      <c r="AA129" s="84"/>
      <c r="AB129" s="84"/>
      <c r="AC129" s="92" t="s">
        <v>1559</v>
      </c>
      <c r="AD129" s="84"/>
      <c r="AE129" s="84" t="b">
        <v>0</v>
      </c>
      <c r="AF129" s="84">
        <v>0</v>
      </c>
      <c r="AG129" s="92" t="s">
        <v>1724</v>
      </c>
      <c r="AH129" s="84" t="b">
        <v>0</v>
      </c>
      <c r="AI129" s="84" t="s">
        <v>1751</v>
      </c>
      <c r="AJ129" s="84"/>
      <c r="AK129" s="92" t="s">
        <v>1724</v>
      </c>
      <c r="AL129" s="84" t="b">
        <v>0</v>
      </c>
      <c r="AM129" s="84">
        <v>0</v>
      </c>
      <c r="AN129" s="92" t="s">
        <v>1724</v>
      </c>
      <c r="AO129" s="84" t="s">
        <v>1783</v>
      </c>
      <c r="AP129" s="84" t="b">
        <v>0</v>
      </c>
      <c r="AQ129" s="92" t="s">
        <v>1559</v>
      </c>
      <c r="AR129" s="84" t="s">
        <v>179</v>
      </c>
      <c r="AS129" s="84">
        <v>0</v>
      </c>
      <c r="AT129" s="84">
        <v>0</v>
      </c>
      <c r="AU129" s="84"/>
      <c r="AV129" s="84"/>
      <c r="AW129" s="84"/>
      <c r="AX129" s="84"/>
      <c r="AY129" s="84"/>
      <c r="AZ129" s="84"/>
      <c r="BA129" s="84"/>
      <c r="BB129" s="84"/>
    </row>
    <row r="130" spans="1:54" x14ac:dyDescent="0.2">
      <c r="A130" s="69" t="s">
        <v>399</v>
      </c>
      <c r="B130" s="69" t="s">
        <v>456</v>
      </c>
      <c r="C130" s="70"/>
      <c r="D130" s="71"/>
      <c r="E130" s="72"/>
      <c r="F130" s="73"/>
      <c r="G130" s="70"/>
      <c r="H130" s="74"/>
      <c r="I130" s="75"/>
      <c r="J130" s="75"/>
      <c r="K130" s="36"/>
      <c r="L130" s="82"/>
      <c r="M130" s="82"/>
      <c r="N130" s="77"/>
      <c r="O130" s="84" t="s">
        <v>500</v>
      </c>
      <c r="P130" s="86">
        <v>44023.8046412037</v>
      </c>
      <c r="Q130" s="84" t="s">
        <v>657</v>
      </c>
      <c r="R130" s="84"/>
      <c r="S130" s="84"/>
      <c r="T130" s="84" t="s">
        <v>834</v>
      </c>
      <c r="U130" s="84"/>
      <c r="V130" s="87" t="str">
        <f>HYPERLINK("http://pbs.twimg.com/profile_images/1272775854666514438/tl3r18LQ_normal.jpg")</f>
        <v>http://pbs.twimg.com/profile_images/1272775854666514438/tl3r18LQ_normal.jpg</v>
      </c>
      <c r="W130" s="86">
        <v>44023.8046412037</v>
      </c>
      <c r="X130" s="90">
        <v>44023</v>
      </c>
      <c r="Y130" s="92" t="s">
        <v>1125</v>
      </c>
      <c r="Z130" s="87" t="str">
        <f>HYPERLINK("https://twitter.com/theadoredeplore/status/1282031574905769987")</f>
        <v>https://twitter.com/theadoredeplore/status/1282031574905769987</v>
      </c>
      <c r="AA130" s="84"/>
      <c r="AB130" s="84"/>
      <c r="AC130" s="92" t="s">
        <v>1544</v>
      </c>
      <c r="AD130" s="84"/>
      <c r="AE130" s="84" t="b">
        <v>0</v>
      </c>
      <c r="AF130" s="84">
        <v>0</v>
      </c>
      <c r="AG130" s="92" t="s">
        <v>1724</v>
      </c>
      <c r="AH130" s="84" t="b">
        <v>0</v>
      </c>
      <c r="AI130" s="84" t="s">
        <v>1751</v>
      </c>
      <c r="AJ130" s="84"/>
      <c r="AK130" s="92" t="s">
        <v>1724</v>
      </c>
      <c r="AL130" s="84" t="b">
        <v>0</v>
      </c>
      <c r="AM130" s="84">
        <v>51</v>
      </c>
      <c r="AN130" s="92" t="s">
        <v>1680</v>
      </c>
      <c r="AO130" s="84" t="s">
        <v>1763</v>
      </c>
      <c r="AP130" s="84" t="b">
        <v>0</v>
      </c>
      <c r="AQ130" s="92" t="s">
        <v>1680</v>
      </c>
      <c r="AR130" s="84" t="s">
        <v>179</v>
      </c>
      <c r="AS130" s="84">
        <v>0</v>
      </c>
      <c r="AT130" s="84">
        <v>0</v>
      </c>
      <c r="AU130" s="84"/>
      <c r="AV130" s="84"/>
      <c r="AW130" s="84"/>
      <c r="AX130" s="84"/>
      <c r="AY130" s="84"/>
      <c r="AZ130" s="84"/>
      <c r="BA130" s="84"/>
      <c r="BB130" s="84"/>
    </row>
    <row r="131" spans="1:54" x14ac:dyDescent="0.2">
      <c r="A131" s="69" t="s">
        <v>398</v>
      </c>
      <c r="B131" s="69" t="s">
        <v>456</v>
      </c>
      <c r="C131" s="70"/>
      <c r="D131" s="71"/>
      <c r="E131" s="72"/>
      <c r="F131" s="73"/>
      <c r="G131" s="70"/>
      <c r="H131" s="74"/>
      <c r="I131" s="75"/>
      <c r="J131" s="75"/>
      <c r="K131" s="36"/>
      <c r="L131" s="82"/>
      <c r="M131" s="82"/>
      <c r="N131" s="77"/>
      <c r="O131" s="84" t="s">
        <v>500</v>
      </c>
      <c r="P131" s="86">
        <v>44023.78334490741</v>
      </c>
      <c r="Q131" s="84" t="s">
        <v>657</v>
      </c>
      <c r="R131" s="84"/>
      <c r="S131" s="84"/>
      <c r="T131" s="84" t="s">
        <v>834</v>
      </c>
      <c r="U131" s="84"/>
      <c r="V131" s="87" t="str">
        <f>HYPERLINK("http://pbs.twimg.com/profile_images/1245596537708630017/rQYBDJTW_normal.jpg")</f>
        <v>http://pbs.twimg.com/profile_images/1245596537708630017/rQYBDJTW_normal.jpg</v>
      </c>
      <c r="W131" s="86">
        <v>44023.78334490741</v>
      </c>
      <c r="X131" s="90">
        <v>44023</v>
      </c>
      <c r="Y131" s="92" t="s">
        <v>1124</v>
      </c>
      <c r="Z131" s="87" t="str">
        <f>HYPERLINK("https://twitter.com/anti_ball/status/1282023858460151810")</f>
        <v>https://twitter.com/anti_ball/status/1282023858460151810</v>
      </c>
      <c r="AA131" s="84"/>
      <c r="AB131" s="84"/>
      <c r="AC131" s="92" t="s">
        <v>1543</v>
      </c>
      <c r="AD131" s="84"/>
      <c r="AE131" s="84" t="b">
        <v>0</v>
      </c>
      <c r="AF131" s="84">
        <v>0</v>
      </c>
      <c r="AG131" s="92" t="s">
        <v>1724</v>
      </c>
      <c r="AH131" s="84" t="b">
        <v>0</v>
      </c>
      <c r="AI131" s="84" t="s">
        <v>1751</v>
      </c>
      <c r="AJ131" s="84"/>
      <c r="AK131" s="92" t="s">
        <v>1724</v>
      </c>
      <c r="AL131" s="84" t="b">
        <v>0</v>
      </c>
      <c r="AM131" s="84">
        <v>51</v>
      </c>
      <c r="AN131" s="92" t="s">
        <v>1680</v>
      </c>
      <c r="AO131" s="84" t="s">
        <v>1766</v>
      </c>
      <c r="AP131" s="84" t="b">
        <v>0</v>
      </c>
      <c r="AQ131" s="92" t="s">
        <v>1680</v>
      </c>
      <c r="AR131" s="84" t="s">
        <v>179</v>
      </c>
      <c r="AS131" s="84">
        <v>0</v>
      </c>
      <c r="AT131" s="84">
        <v>0</v>
      </c>
      <c r="AU131" s="84"/>
      <c r="AV131" s="84"/>
      <c r="AW131" s="84"/>
      <c r="AX131" s="84"/>
      <c r="AY131" s="84"/>
      <c r="AZ131" s="84"/>
      <c r="BA131" s="84"/>
      <c r="BB131" s="84"/>
    </row>
    <row r="132" spans="1:54" x14ac:dyDescent="0.2">
      <c r="A132" s="69" t="s">
        <v>397</v>
      </c>
      <c r="B132" s="69" t="s">
        <v>456</v>
      </c>
      <c r="C132" s="70"/>
      <c r="D132" s="71"/>
      <c r="E132" s="72"/>
      <c r="F132" s="73"/>
      <c r="G132" s="70"/>
      <c r="H132" s="74"/>
      <c r="I132" s="75"/>
      <c r="J132" s="75"/>
      <c r="K132" s="36"/>
      <c r="L132" s="82"/>
      <c r="M132" s="82"/>
      <c r="N132" s="77"/>
      <c r="O132" s="84" t="s">
        <v>500</v>
      </c>
      <c r="P132" s="86">
        <v>44023.779942129629</v>
      </c>
      <c r="Q132" s="84" t="s">
        <v>657</v>
      </c>
      <c r="R132" s="84"/>
      <c r="S132" s="84"/>
      <c r="T132" s="84" t="s">
        <v>834</v>
      </c>
      <c r="U132" s="84"/>
      <c r="V132" s="87" t="str">
        <f>HYPERLINK("http://pbs.twimg.com/profile_images/515563856811548672/q16rGuVA_normal.jpeg")</f>
        <v>http://pbs.twimg.com/profile_images/515563856811548672/q16rGuVA_normal.jpeg</v>
      </c>
      <c r="W132" s="86">
        <v>44023.779942129629</v>
      </c>
      <c r="X132" s="90">
        <v>44023</v>
      </c>
      <c r="Y132" s="92" t="s">
        <v>1123</v>
      </c>
      <c r="Z132" s="87" t="str">
        <f>HYPERLINK("https://twitter.com/lillmcgil/status/1282022626630615040")</f>
        <v>https://twitter.com/lillmcgil/status/1282022626630615040</v>
      </c>
      <c r="AA132" s="84"/>
      <c r="AB132" s="84"/>
      <c r="AC132" s="92" t="s">
        <v>1542</v>
      </c>
      <c r="AD132" s="84"/>
      <c r="AE132" s="84" t="b">
        <v>0</v>
      </c>
      <c r="AF132" s="84">
        <v>0</v>
      </c>
      <c r="AG132" s="92" t="s">
        <v>1724</v>
      </c>
      <c r="AH132" s="84" t="b">
        <v>0</v>
      </c>
      <c r="AI132" s="84" t="s">
        <v>1751</v>
      </c>
      <c r="AJ132" s="84"/>
      <c r="AK132" s="92" t="s">
        <v>1724</v>
      </c>
      <c r="AL132" s="84" t="b">
        <v>0</v>
      </c>
      <c r="AM132" s="84">
        <v>51</v>
      </c>
      <c r="AN132" s="92" t="s">
        <v>1680</v>
      </c>
      <c r="AO132" s="84" t="s">
        <v>1763</v>
      </c>
      <c r="AP132" s="84" t="b">
        <v>0</v>
      </c>
      <c r="AQ132" s="92" t="s">
        <v>1680</v>
      </c>
      <c r="AR132" s="84" t="s">
        <v>179</v>
      </c>
      <c r="AS132" s="84">
        <v>0</v>
      </c>
      <c r="AT132" s="84">
        <v>0</v>
      </c>
      <c r="AU132" s="84"/>
      <c r="AV132" s="84"/>
      <c r="AW132" s="84"/>
      <c r="AX132" s="84"/>
      <c r="AY132" s="84"/>
      <c r="AZ132" s="84"/>
      <c r="BA132" s="84"/>
      <c r="BB132" s="84"/>
    </row>
    <row r="133" spans="1:54" x14ac:dyDescent="0.2">
      <c r="A133" s="69" t="s">
        <v>396</v>
      </c>
      <c r="B133" s="69" t="s">
        <v>456</v>
      </c>
      <c r="C133" s="70"/>
      <c r="D133" s="71"/>
      <c r="E133" s="72"/>
      <c r="F133" s="73"/>
      <c r="G133" s="70"/>
      <c r="H133" s="74"/>
      <c r="I133" s="75"/>
      <c r="J133" s="75"/>
      <c r="K133" s="36"/>
      <c r="L133" s="82"/>
      <c r="M133" s="82"/>
      <c r="N133" s="77"/>
      <c r="O133" s="84" t="s">
        <v>500</v>
      </c>
      <c r="P133" s="86">
        <v>44023.776585648149</v>
      </c>
      <c r="Q133" s="84" t="s">
        <v>657</v>
      </c>
      <c r="R133" s="84"/>
      <c r="S133" s="84"/>
      <c r="T133" s="84" t="s">
        <v>834</v>
      </c>
      <c r="U133" s="84"/>
      <c r="V133" s="87" t="str">
        <f>HYPERLINK("http://pbs.twimg.com/profile_images/1281637436297224193/mCnRd8FV_normal.jpg")</f>
        <v>http://pbs.twimg.com/profile_images/1281637436297224193/mCnRd8FV_normal.jpg</v>
      </c>
      <c r="W133" s="86">
        <v>44023.776585648149</v>
      </c>
      <c r="X133" s="90">
        <v>44023</v>
      </c>
      <c r="Y133" s="92" t="s">
        <v>1122</v>
      </c>
      <c r="Z133" s="87" t="str">
        <f>HYPERLINK("https://twitter.com/nathankg/status/1282021408030302210")</f>
        <v>https://twitter.com/nathankg/status/1282021408030302210</v>
      </c>
      <c r="AA133" s="84"/>
      <c r="AB133" s="84"/>
      <c r="AC133" s="92" t="s">
        <v>1541</v>
      </c>
      <c r="AD133" s="84"/>
      <c r="AE133" s="84" t="b">
        <v>0</v>
      </c>
      <c r="AF133" s="84">
        <v>0</v>
      </c>
      <c r="AG133" s="92" t="s">
        <v>1724</v>
      </c>
      <c r="AH133" s="84" t="b">
        <v>0</v>
      </c>
      <c r="AI133" s="84" t="s">
        <v>1751</v>
      </c>
      <c r="AJ133" s="84"/>
      <c r="AK133" s="92" t="s">
        <v>1724</v>
      </c>
      <c r="AL133" s="84" t="b">
        <v>0</v>
      </c>
      <c r="AM133" s="84">
        <v>51</v>
      </c>
      <c r="AN133" s="92" t="s">
        <v>1680</v>
      </c>
      <c r="AO133" s="84" t="s">
        <v>1764</v>
      </c>
      <c r="AP133" s="84" t="b">
        <v>0</v>
      </c>
      <c r="AQ133" s="92" t="s">
        <v>1680</v>
      </c>
      <c r="AR133" s="84" t="s">
        <v>179</v>
      </c>
      <c r="AS133" s="84">
        <v>0</v>
      </c>
      <c r="AT133" s="84">
        <v>0</v>
      </c>
      <c r="AU133" s="84"/>
      <c r="AV133" s="84"/>
      <c r="AW133" s="84"/>
      <c r="AX133" s="84"/>
      <c r="AY133" s="84"/>
      <c r="AZ133" s="84"/>
      <c r="BA133" s="84"/>
      <c r="BB133" s="84"/>
    </row>
    <row r="134" spans="1:54" x14ac:dyDescent="0.2">
      <c r="A134" s="69" t="s">
        <v>395</v>
      </c>
      <c r="B134" s="69" t="s">
        <v>456</v>
      </c>
      <c r="C134" s="70"/>
      <c r="D134" s="71"/>
      <c r="E134" s="72"/>
      <c r="F134" s="73"/>
      <c r="G134" s="70"/>
      <c r="H134" s="74"/>
      <c r="I134" s="75"/>
      <c r="J134" s="75"/>
      <c r="K134" s="36"/>
      <c r="L134" s="82"/>
      <c r="M134" s="82"/>
      <c r="N134" s="77"/>
      <c r="O134" s="84" t="s">
        <v>500</v>
      </c>
      <c r="P134" s="86">
        <v>44023.775925925926</v>
      </c>
      <c r="Q134" s="84" t="s">
        <v>657</v>
      </c>
      <c r="R134" s="84"/>
      <c r="S134" s="84"/>
      <c r="T134" s="84" t="s">
        <v>834</v>
      </c>
      <c r="U134" s="84"/>
      <c r="V134" s="87" t="str">
        <f>HYPERLINK("http://pbs.twimg.com/profile_images/1717087062/baaaa_we_re_tired_of_your_stupid_conspiracy_stories_normal.jpg")</f>
        <v>http://pbs.twimg.com/profile_images/1717087062/baaaa_we_re_tired_of_your_stupid_conspiracy_stories_normal.jpg</v>
      </c>
      <c r="W134" s="86">
        <v>44023.775925925926</v>
      </c>
      <c r="X134" s="90">
        <v>44023</v>
      </c>
      <c r="Y134" s="92" t="s">
        <v>1121</v>
      </c>
      <c r="Z134" s="87" t="str">
        <f>HYPERLINK("https://twitter.com/libertyjusticeb/status/1282021171966414848")</f>
        <v>https://twitter.com/libertyjusticeb/status/1282021171966414848</v>
      </c>
      <c r="AA134" s="84"/>
      <c r="AB134" s="84"/>
      <c r="AC134" s="92" t="s">
        <v>1540</v>
      </c>
      <c r="AD134" s="84"/>
      <c r="AE134" s="84" t="b">
        <v>0</v>
      </c>
      <c r="AF134" s="84">
        <v>0</v>
      </c>
      <c r="AG134" s="92" t="s">
        <v>1724</v>
      </c>
      <c r="AH134" s="84" t="b">
        <v>0</v>
      </c>
      <c r="AI134" s="84" t="s">
        <v>1751</v>
      </c>
      <c r="AJ134" s="84"/>
      <c r="AK134" s="92" t="s">
        <v>1724</v>
      </c>
      <c r="AL134" s="84" t="b">
        <v>0</v>
      </c>
      <c r="AM134" s="84">
        <v>51</v>
      </c>
      <c r="AN134" s="92" t="s">
        <v>1680</v>
      </c>
      <c r="AO134" s="84" t="s">
        <v>1766</v>
      </c>
      <c r="AP134" s="84" t="b">
        <v>0</v>
      </c>
      <c r="AQ134" s="92" t="s">
        <v>1680</v>
      </c>
      <c r="AR134" s="84" t="s">
        <v>179</v>
      </c>
      <c r="AS134" s="84">
        <v>0</v>
      </c>
      <c r="AT134" s="84">
        <v>0</v>
      </c>
      <c r="AU134" s="84"/>
      <c r="AV134" s="84"/>
      <c r="AW134" s="84"/>
      <c r="AX134" s="84"/>
      <c r="AY134" s="84"/>
      <c r="AZ134" s="84"/>
      <c r="BA134" s="84"/>
      <c r="BB134" s="84"/>
    </row>
    <row r="135" spans="1:54" x14ac:dyDescent="0.2">
      <c r="A135" s="69" t="s">
        <v>394</v>
      </c>
      <c r="B135" s="69" t="s">
        <v>456</v>
      </c>
      <c r="C135" s="70"/>
      <c r="D135" s="71"/>
      <c r="E135" s="72"/>
      <c r="F135" s="73"/>
      <c r="G135" s="70"/>
      <c r="H135" s="74"/>
      <c r="I135" s="75"/>
      <c r="J135" s="75"/>
      <c r="K135" s="36"/>
      <c r="L135" s="82"/>
      <c r="M135" s="82"/>
      <c r="N135" s="77"/>
      <c r="O135" s="84" t="s">
        <v>500</v>
      </c>
      <c r="P135" s="86">
        <v>44023.774606481478</v>
      </c>
      <c r="Q135" s="84" t="s">
        <v>657</v>
      </c>
      <c r="R135" s="84"/>
      <c r="S135" s="84"/>
      <c r="T135" s="84" t="s">
        <v>834</v>
      </c>
      <c r="U135" s="84"/>
      <c r="V135" s="87" t="str">
        <f>HYPERLINK("http://pbs.twimg.com/profile_images/991666357388406784/qu4jgfQn_normal.jpg")</f>
        <v>http://pbs.twimg.com/profile_images/991666357388406784/qu4jgfQn_normal.jpg</v>
      </c>
      <c r="W135" s="86">
        <v>44023.774606481478</v>
      </c>
      <c r="X135" s="90">
        <v>44023</v>
      </c>
      <c r="Y135" s="92" t="s">
        <v>1120</v>
      </c>
      <c r="Z135" s="87" t="str">
        <f>HYPERLINK("https://twitter.com/ghengiskhan88/status/1282020693559971842")</f>
        <v>https://twitter.com/ghengiskhan88/status/1282020693559971842</v>
      </c>
      <c r="AA135" s="84"/>
      <c r="AB135" s="84"/>
      <c r="AC135" s="92" t="s">
        <v>1539</v>
      </c>
      <c r="AD135" s="84"/>
      <c r="AE135" s="84" t="b">
        <v>0</v>
      </c>
      <c r="AF135" s="84">
        <v>0</v>
      </c>
      <c r="AG135" s="92" t="s">
        <v>1724</v>
      </c>
      <c r="AH135" s="84" t="b">
        <v>0</v>
      </c>
      <c r="AI135" s="84" t="s">
        <v>1751</v>
      </c>
      <c r="AJ135" s="84"/>
      <c r="AK135" s="92" t="s">
        <v>1724</v>
      </c>
      <c r="AL135" s="84" t="b">
        <v>0</v>
      </c>
      <c r="AM135" s="84">
        <v>51</v>
      </c>
      <c r="AN135" s="92" t="s">
        <v>1680</v>
      </c>
      <c r="AO135" s="84" t="s">
        <v>1764</v>
      </c>
      <c r="AP135" s="84" t="b">
        <v>0</v>
      </c>
      <c r="AQ135" s="92" t="s">
        <v>1680</v>
      </c>
      <c r="AR135" s="84" t="s">
        <v>179</v>
      </c>
      <c r="AS135" s="84">
        <v>0</v>
      </c>
      <c r="AT135" s="84">
        <v>0</v>
      </c>
      <c r="AU135" s="84"/>
      <c r="AV135" s="84"/>
      <c r="AW135" s="84"/>
      <c r="AX135" s="84"/>
      <c r="AY135" s="84"/>
      <c r="AZ135" s="84"/>
      <c r="BA135" s="84"/>
      <c r="BB135" s="84"/>
    </row>
    <row r="136" spans="1:54" x14ac:dyDescent="0.2">
      <c r="A136" s="69" t="s">
        <v>393</v>
      </c>
      <c r="B136" s="69" t="s">
        <v>456</v>
      </c>
      <c r="C136" s="70"/>
      <c r="D136" s="71"/>
      <c r="E136" s="72"/>
      <c r="F136" s="73"/>
      <c r="G136" s="70"/>
      <c r="H136" s="74"/>
      <c r="I136" s="75"/>
      <c r="J136" s="75"/>
      <c r="K136" s="36"/>
      <c r="L136" s="82"/>
      <c r="M136" s="82"/>
      <c r="N136" s="77"/>
      <c r="O136" s="84" t="s">
        <v>500</v>
      </c>
      <c r="P136" s="86">
        <v>44023.773564814815</v>
      </c>
      <c r="Q136" s="84" t="s">
        <v>657</v>
      </c>
      <c r="R136" s="84"/>
      <c r="S136" s="84"/>
      <c r="T136" s="84" t="s">
        <v>834</v>
      </c>
      <c r="U136" s="84"/>
      <c r="V136" s="87" t="str">
        <f>HYPERLINK("http://pbs.twimg.com/profile_images/1267942354624950272/9-2lqaQ7_normal.jpg")</f>
        <v>http://pbs.twimg.com/profile_images/1267942354624950272/9-2lqaQ7_normal.jpg</v>
      </c>
      <c r="W136" s="86">
        <v>44023.773564814815</v>
      </c>
      <c r="X136" s="90">
        <v>44023</v>
      </c>
      <c r="Y136" s="92" t="s">
        <v>1119</v>
      </c>
      <c r="Z136" s="87" t="str">
        <f>HYPERLINK("https://twitter.com/stannorred/status/1282020316357820416")</f>
        <v>https://twitter.com/stannorred/status/1282020316357820416</v>
      </c>
      <c r="AA136" s="84"/>
      <c r="AB136" s="84"/>
      <c r="AC136" s="92" t="s">
        <v>1538</v>
      </c>
      <c r="AD136" s="84"/>
      <c r="AE136" s="84" t="b">
        <v>0</v>
      </c>
      <c r="AF136" s="84">
        <v>0</v>
      </c>
      <c r="AG136" s="92" t="s">
        <v>1724</v>
      </c>
      <c r="AH136" s="84" t="b">
        <v>0</v>
      </c>
      <c r="AI136" s="84" t="s">
        <v>1751</v>
      </c>
      <c r="AJ136" s="84"/>
      <c r="AK136" s="92" t="s">
        <v>1724</v>
      </c>
      <c r="AL136" s="84" t="b">
        <v>0</v>
      </c>
      <c r="AM136" s="84">
        <v>51</v>
      </c>
      <c r="AN136" s="92" t="s">
        <v>1680</v>
      </c>
      <c r="AO136" s="84" t="s">
        <v>1764</v>
      </c>
      <c r="AP136" s="84" t="b">
        <v>0</v>
      </c>
      <c r="AQ136" s="92" t="s">
        <v>1680</v>
      </c>
      <c r="AR136" s="84" t="s">
        <v>179</v>
      </c>
      <c r="AS136" s="84">
        <v>0</v>
      </c>
      <c r="AT136" s="84">
        <v>0</v>
      </c>
      <c r="AU136" s="84"/>
      <c r="AV136" s="84"/>
      <c r="AW136" s="84"/>
      <c r="AX136" s="84"/>
      <c r="AY136" s="84"/>
      <c r="AZ136" s="84"/>
      <c r="BA136" s="84"/>
      <c r="BB136" s="84"/>
    </row>
    <row r="137" spans="1:54" x14ac:dyDescent="0.2">
      <c r="A137" s="69" t="s">
        <v>392</v>
      </c>
      <c r="B137" s="69" t="s">
        <v>456</v>
      </c>
      <c r="C137" s="70"/>
      <c r="D137" s="71"/>
      <c r="E137" s="72"/>
      <c r="F137" s="73"/>
      <c r="G137" s="70"/>
      <c r="H137" s="74"/>
      <c r="I137" s="75"/>
      <c r="J137" s="75"/>
      <c r="K137" s="36"/>
      <c r="L137" s="82"/>
      <c r="M137" s="82"/>
      <c r="N137" s="77"/>
      <c r="O137" s="84" t="s">
        <v>500</v>
      </c>
      <c r="P137" s="86">
        <v>44023.773321759261</v>
      </c>
      <c r="Q137" s="84" t="s">
        <v>657</v>
      </c>
      <c r="R137" s="84"/>
      <c r="S137" s="84"/>
      <c r="T137" s="84" t="s">
        <v>834</v>
      </c>
      <c r="U137" s="84"/>
      <c r="V137" s="87" t="str">
        <f>HYPERLINK("http://pbs.twimg.com/profile_images/696955123822538756/E7JuTb7y_normal.jpg")</f>
        <v>http://pbs.twimg.com/profile_images/696955123822538756/E7JuTb7y_normal.jpg</v>
      </c>
      <c r="W137" s="86">
        <v>44023.773321759261</v>
      </c>
      <c r="X137" s="90">
        <v>44023</v>
      </c>
      <c r="Y137" s="92" t="s">
        <v>1118</v>
      </c>
      <c r="Z137" s="87" t="str">
        <f>HYPERLINK("https://twitter.com/paulthemartian/status/1282020227161575424")</f>
        <v>https://twitter.com/paulthemartian/status/1282020227161575424</v>
      </c>
      <c r="AA137" s="84"/>
      <c r="AB137" s="84"/>
      <c r="AC137" s="92" t="s">
        <v>1537</v>
      </c>
      <c r="AD137" s="84"/>
      <c r="AE137" s="84" t="b">
        <v>0</v>
      </c>
      <c r="AF137" s="84">
        <v>0</v>
      </c>
      <c r="AG137" s="92" t="s">
        <v>1724</v>
      </c>
      <c r="AH137" s="84" t="b">
        <v>0</v>
      </c>
      <c r="AI137" s="84" t="s">
        <v>1751</v>
      </c>
      <c r="AJ137" s="84"/>
      <c r="AK137" s="92" t="s">
        <v>1724</v>
      </c>
      <c r="AL137" s="84" t="b">
        <v>0</v>
      </c>
      <c r="AM137" s="84">
        <v>51</v>
      </c>
      <c r="AN137" s="92" t="s">
        <v>1680</v>
      </c>
      <c r="AO137" s="84" t="s">
        <v>1763</v>
      </c>
      <c r="AP137" s="84" t="b">
        <v>0</v>
      </c>
      <c r="AQ137" s="92" t="s">
        <v>1680</v>
      </c>
      <c r="AR137" s="84" t="s">
        <v>179</v>
      </c>
      <c r="AS137" s="84">
        <v>0</v>
      </c>
      <c r="AT137" s="84">
        <v>0</v>
      </c>
      <c r="AU137" s="84"/>
      <c r="AV137" s="84"/>
      <c r="AW137" s="84"/>
      <c r="AX137" s="84"/>
      <c r="AY137" s="84"/>
      <c r="AZ137" s="84"/>
      <c r="BA137" s="84"/>
      <c r="BB137" s="84"/>
    </row>
    <row r="138" spans="1:54" x14ac:dyDescent="0.2">
      <c r="A138" s="69" t="s">
        <v>391</v>
      </c>
      <c r="B138" s="69" t="s">
        <v>456</v>
      </c>
      <c r="C138" s="70"/>
      <c r="D138" s="71"/>
      <c r="E138" s="72"/>
      <c r="F138" s="73"/>
      <c r="G138" s="70"/>
      <c r="H138" s="74"/>
      <c r="I138" s="75"/>
      <c r="J138" s="75"/>
      <c r="K138" s="36"/>
      <c r="L138" s="82"/>
      <c r="M138" s="82"/>
      <c r="N138" s="77"/>
      <c r="O138" s="84" t="s">
        <v>500</v>
      </c>
      <c r="P138" s="86">
        <v>44023.744375000002</v>
      </c>
      <c r="Q138" s="84" t="s">
        <v>657</v>
      </c>
      <c r="R138" s="84"/>
      <c r="S138" s="84"/>
      <c r="T138" s="84" t="s">
        <v>834</v>
      </c>
      <c r="U138" s="84"/>
      <c r="V138" s="87" t="str">
        <f>HYPERLINK("http://pbs.twimg.com/profile_images/962594524122906624/Ako2prtp_normal.jpg")</f>
        <v>http://pbs.twimg.com/profile_images/962594524122906624/Ako2prtp_normal.jpg</v>
      </c>
      <c r="W138" s="86">
        <v>44023.744375000002</v>
      </c>
      <c r="X138" s="90">
        <v>44023</v>
      </c>
      <c r="Y138" s="92" t="s">
        <v>1117</v>
      </c>
      <c r="Z138" s="87" t="str">
        <f>HYPERLINK("https://twitter.com/ninjaawaffles/status/1282009737177907200")</f>
        <v>https://twitter.com/ninjaawaffles/status/1282009737177907200</v>
      </c>
      <c r="AA138" s="84"/>
      <c r="AB138" s="84"/>
      <c r="AC138" s="92" t="s">
        <v>1536</v>
      </c>
      <c r="AD138" s="84"/>
      <c r="AE138" s="84" t="b">
        <v>0</v>
      </c>
      <c r="AF138" s="84">
        <v>0</v>
      </c>
      <c r="AG138" s="92" t="s">
        <v>1724</v>
      </c>
      <c r="AH138" s="84" t="b">
        <v>0</v>
      </c>
      <c r="AI138" s="84" t="s">
        <v>1751</v>
      </c>
      <c r="AJ138" s="84"/>
      <c r="AK138" s="92" t="s">
        <v>1724</v>
      </c>
      <c r="AL138" s="84" t="b">
        <v>0</v>
      </c>
      <c r="AM138" s="84">
        <v>51</v>
      </c>
      <c r="AN138" s="92" t="s">
        <v>1680</v>
      </c>
      <c r="AO138" s="84" t="s">
        <v>1763</v>
      </c>
      <c r="AP138" s="84" t="b">
        <v>0</v>
      </c>
      <c r="AQ138" s="92" t="s">
        <v>1680</v>
      </c>
      <c r="AR138" s="84" t="s">
        <v>179</v>
      </c>
      <c r="AS138" s="84">
        <v>0</v>
      </c>
      <c r="AT138" s="84">
        <v>0</v>
      </c>
      <c r="AU138" s="84"/>
      <c r="AV138" s="84"/>
      <c r="AW138" s="84"/>
      <c r="AX138" s="84"/>
      <c r="AY138" s="84"/>
      <c r="AZ138" s="84"/>
      <c r="BA138" s="84"/>
      <c r="BB138" s="84"/>
    </row>
    <row r="139" spans="1:54" x14ac:dyDescent="0.2">
      <c r="A139" s="69" t="s">
        <v>390</v>
      </c>
      <c r="B139" s="69" t="s">
        <v>456</v>
      </c>
      <c r="C139" s="70"/>
      <c r="D139" s="71"/>
      <c r="E139" s="72"/>
      <c r="F139" s="73"/>
      <c r="G139" s="70"/>
      <c r="H139" s="74"/>
      <c r="I139" s="75"/>
      <c r="J139" s="75"/>
      <c r="K139" s="36"/>
      <c r="L139" s="82"/>
      <c r="M139" s="82"/>
      <c r="N139" s="77"/>
      <c r="O139" s="84" t="s">
        <v>500</v>
      </c>
      <c r="P139" s="86">
        <v>44023.742638888885</v>
      </c>
      <c r="Q139" s="84" t="s">
        <v>657</v>
      </c>
      <c r="R139" s="84"/>
      <c r="S139" s="84"/>
      <c r="T139" s="84" t="s">
        <v>834</v>
      </c>
      <c r="U139" s="84"/>
      <c r="V139" s="87" t="str">
        <f>HYPERLINK("http://pbs.twimg.com/profile_images/1131225716102717440/tOzx1LHe_normal.jpg")</f>
        <v>http://pbs.twimg.com/profile_images/1131225716102717440/tOzx1LHe_normal.jpg</v>
      </c>
      <c r="W139" s="86">
        <v>44023.742638888885</v>
      </c>
      <c r="X139" s="90">
        <v>44023</v>
      </c>
      <c r="Y139" s="92" t="s">
        <v>1116</v>
      </c>
      <c r="Z139" s="87" t="str">
        <f>HYPERLINK("https://twitter.com/asperminette/status/1282009105713049601")</f>
        <v>https://twitter.com/asperminette/status/1282009105713049601</v>
      </c>
      <c r="AA139" s="84"/>
      <c r="AB139" s="84"/>
      <c r="AC139" s="92" t="s">
        <v>1535</v>
      </c>
      <c r="AD139" s="84"/>
      <c r="AE139" s="84" t="b">
        <v>0</v>
      </c>
      <c r="AF139" s="84">
        <v>0</v>
      </c>
      <c r="AG139" s="92" t="s">
        <v>1724</v>
      </c>
      <c r="AH139" s="84" t="b">
        <v>0</v>
      </c>
      <c r="AI139" s="84" t="s">
        <v>1751</v>
      </c>
      <c r="AJ139" s="84"/>
      <c r="AK139" s="92" t="s">
        <v>1724</v>
      </c>
      <c r="AL139" s="84" t="b">
        <v>0</v>
      </c>
      <c r="AM139" s="84">
        <v>51</v>
      </c>
      <c r="AN139" s="92" t="s">
        <v>1680</v>
      </c>
      <c r="AO139" s="84" t="s">
        <v>1763</v>
      </c>
      <c r="AP139" s="84" t="b">
        <v>0</v>
      </c>
      <c r="AQ139" s="92" t="s">
        <v>1680</v>
      </c>
      <c r="AR139" s="84" t="s">
        <v>179</v>
      </c>
      <c r="AS139" s="84">
        <v>0</v>
      </c>
      <c r="AT139" s="84">
        <v>0</v>
      </c>
      <c r="AU139" s="84"/>
      <c r="AV139" s="84"/>
      <c r="AW139" s="84"/>
      <c r="AX139" s="84"/>
      <c r="AY139" s="84"/>
      <c r="AZ139" s="84"/>
      <c r="BA139" s="84"/>
      <c r="BB139" s="84"/>
    </row>
    <row r="140" spans="1:54" x14ac:dyDescent="0.2">
      <c r="A140" s="69" t="s">
        <v>389</v>
      </c>
      <c r="B140" s="69" t="s">
        <v>456</v>
      </c>
      <c r="C140" s="70"/>
      <c r="D140" s="71"/>
      <c r="E140" s="72"/>
      <c r="F140" s="73"/>
      <c r="G140" s="70"/>
      <c r="H140" s="74"/>
      <c r="I140" s="75"/>
      <c r="J140" s="75"/>
      <c r="K140" s="36"/>
      <c r="L140" s="82"/>
      <c r="M140" s="82"/>
      <c r="N140" s="77"/>
      <c r="O140" s="84" t="s">
        <v>500</v>
      </c>
      <c r="P140" s="86">
        <v>44023.742361111108</v>
      </c>
      <c r="Q140" s="84" t="s">
        <v>657</v>
      </c>
      <c r="R140" s="84"/>
      <c r="S140" s="84"/>
      <c r="T140" s="84" t="s">
        <v>834</v>
      </c>
      <c r="U140" s="84"/>
      <c r="V140" s="87" t="str">
        <f>HYPERLINK("http://pbs.twimg.com/profile_images/1229647436005527552/QHJa5zVI_normal.jpg")</f>
        <v>http://pbs.twimg.com/profile_images/1229647436005527552/QHJa5zVI_normal.jpg</v>
      </c>
      <c r="W140" s="86">
        <v>44023.742361111108</v>
      </c>
      <c r="X140" s="90">
        <v>44023</v>
      </c>
      <c r="Y140" s="92" t="s">
        <v>1115</v>
      </c>
      <c r="Z140" s="87" t="str">
        <f>HYPERLINK("https://twitter.com/peachpriestess/status/1282009006244913152")</f>
        <v>https://twitter.com/peachpriestess/status/1282009006244913152</v>
      </c>
      <c r="AA140" s="84"/>
      <c r="AB140" s="84"/>
      <c r="AC140" s="92" t="s">
        <v>1534</v>
      </c>
      <c r="AD140" s="84"/>
      <c r="AE140" s="84" t="b">
        <v>0</v>
      </c>
      <c r="AF140" s="84">
        <v>0</v>
      </c>
      <c r="AG140" s="92" t="s">
        <v>1724</v>
      </c>
      <c r="AH140" s="84" t="b">
        <v>0</v>
      </c>
      <c r="AI140" s="84" t="s">
        <v>1751</v>
      </c>
      <c r="AJ140" s="84"/>
      <c r="AK140" s="92" t="s">
        <v>1724</v>
      </c>
      <c r="AL140" s="84" t="b">
        <v>0</v>
      </c>
      <c r="AM140" s="84">
        <v>51</v>
      </c>
      <c r="AN140" s="92" t="s">
        <v>1680</v>
      </c>
      <c r="AO140" s="84" t="s">
        <v>1763</v>
      </c>
      <c r="AP140" s="84" t="b">
        <v>0</v>
      </c>
      <c r="AQ140" s="92" t="s">
        <v>1680</v>
      </c>
      <c r="AR140" s="84" t="s">
        <v>179</v>
      </c>
      <c r="AS140" s="84">
        <v>0</v>
      </c>
      <c r="AT140" s="84">
        <v>0</v>
      </c>
      <c r="AU140" s="84"/>
      <c r="AV140" s="84"/>
      <c r="AW140" s="84"/>
      <c r="AX140" s="84"/>
      <c r="AY140" s="84"/>
      <c r="AZ140" s="84"/>
      <c r="BA140" s="84"/>
      <c r="BB140" s="84"/>
    </row>
    <row r="141" spans="1:54" x14ac:dyDescent="0.2">
      <c r="A141" s="69" t="s">
        <v>388</v>
      </c>
      <c r="B141" s="69" t="s">
        <v>388</v>
      </c>
      <c r="C141" s="70"/>
      <c r="D141" s="71"/>
      <c r="E141" s="72"/>
      <c r="F141" s="73"/>
      <c r="G141" s="70"/>
      <c r="H141" s="74"/>
      <c r="I141" s="75"/>
      <c r="J141" s="75"/>
      <c r="K141" s="36"/>
      <c r="L141" s="82"/>
      <c r="M141" s="82"/>
      <c r="N141" s="77"/>
      <c r="O141" s="84" t="s">
        <v>179</v>
      </c>
      <c r="P141" s="86">
        <v>44023.74150462963</v>
      </c>
      <c r="Q141" s="84" t="s">
        <v>687</v>
      </c>
      <c r="R141" s="87" t="str">
        <f>HYPERLINK("https://www.twitlonger.com/show/n_1srao1p")</f>
        <v>https://www.twitlonger.com/show/n_1srao1p</v>
      </c>
      <c r="S141" s="84" t="s">
        <v>775</v>
      </c>
      <c r="T141" s="84" t="s">
        <v>781</v>
      </c>
      <c r="U141" s="84"/>
      <c r="V141" s="87" t="str">
        <f>HYPERLINK("http://pbs.twimg.com/profile_images/1133225889037086721/75vP7eqZ_normal.jpg")</f>
        <v>http://pbs.twimg.com/profile_images/1133225889037086721/75vP7eqZ_normal.jpg</v>
      </c>
      <c r="W141" s="86">
        <v>44023.74150462963</v>
      </c>
      <c r="X141" s="90">
        <v>44023</v>
      </c>
      <c r="Y141" s="92" t="s">
        <v>1114</v>
      </c>
      <c r="Z141" s="87" t="str">
        <f>HYPERLINK("https://twitter.com/mikeytvjonez/status/1282008696218963970")</f>
        <v>https://twitter.com/mikeytvjonez/status/1282008696218963970</v>
      </c>
      <c r="AA141" s="84"/>
      <c r="AB141" s="84"/>
      <c r="AC141" s="92" t="s">
        <v>1533</v>
      </c>
      <c r="AD141" s="84"/>
      <c r="AE141" s="84" t="b">
        <v>0</v>
      </c>
      <c r="AF141" s="84">
        <v>0</v>
      </c>
      <c r="AG141" s="92" t="s">
        <v>1724</v>
      </c>
      <c r="AH141" s="84" t="b">
        <v>0</v>
      </c>
      <c r="AI141" s="84" t="s">
        <v>1751</v>
      </c>
      <c r="AJ141" s="84"/>
      <c r="AK141" s="92" t="s">
        <v>1724</v>
      </c>
      <c r="AL141" s="84" t="b">
        <v>0</v>
      </c>
      <c r="AM141" s="84">
        <v>0</v>
      </c>
      <c r="AN141" s="92" t="s">
        <v>1724</v>
      </c>
      <c r="AO141" s="84" t="s">
        <v>1782</v>
      </c>
      <c r="AP141" s="84" t="b">
        <v>0</v>
      </c>
      <c r="AQ141" s="92" t="s">
        <v>1533</v>
      </c>
      <c r="AR141" s="84" t="s">
        <v>179</v>
      </c>
      <c r="AS141" s="84">
        <v>0</v>
      </c>
      <c r="AT141" s="84">
        <v>0</v>
      </c>
      <c r="AU141" s="84"/>
      <c r="AV141" s="84"/>
      <c r="AW141" s="84"/>
      <c r="AX141" s="84"/>
      <c r="AY141" s="84"/>
      <c r="AZ141" s="84"/>
      <c r="BA141" s="84"/>
      <c r="BB141" s="84"/>
    </row>
    <row r="142" spans="1:54" x14ac:dyDescent="0.2">
      <c r="A142" s="69" t="s">
        <v>439</v>
      </c>
      <c r="B142" s="69" t="s">
        <v>439</v>
      </c>
      <c r="C142" s="70"/>
      <c r="D142" s="71"/>
      <c r="E142" s="72"/>
      <c r="F142" s="73"/>
      <c r="G142" s="70"/>
      <c r="H142" s="74"/>
      <c r="I142" s="75"/>
      <c r="J142" s="75"/>
      <c r="K142" s="36"/>
      <c r="L142" s="82"/>
      <c r="M142" s="82"/>
      <c r="N142" s="77"/>
      <c r="O142" s="84" t="s">
        <v>179</v>
      </c>
      <c r="P142" s="86">
        <v>44023.727418981478</v>
      </c>
      <c r="Q142" s="84" t="s">
        <v>732</v>
      </c>
      <c r="R142" s="84"/>
      <c r="S142" s="84"/>
      <c r="T142" s="84" t="s">
        <v>789</v>
      </c>
      <c r="U142" s="87" t="str">
        <f>HYPERLINK("https://pbs.twimg.com/media/EcqXdmAUwAESTlc.jpg")</f>
        <v>https://pbs.twimg.com/media/EcqXdmAUwAESTlc.jpg</v>
      </c>
      <c r="V142" s="87" t="str">
        <f>HYPERLINK("https://pbs.twimg.com/media/EcqXdmAUwAESTlc.jpg")</f>
        <v>https://pbs.twimg.com/media/EcqXdmAUwAESTlc.jpg</v>
      </c>
      <c r="W142" s="86">
        <v>44023.727418981478</v>
      </c>
      <c r="X142" s="90">
        <v>44023</v>
      </c>
      <c r="Y142" s="92" t="s">
        <v>1222</v>
      </c>
      <c r="Z142" s="87" t="str">
        <f>HYPERLINK("https://twitter.com/pokemon_fumi/status/1282003590815420416")</f>
        <v>https://twitter.com/pokemon_fumi/status/1282003590815420416</v>
      </c>
      <c r="AA142" s="84"/>
      <c r="AB142" s="84"/>
      <c r="AC142" s="92" t="s">
        <v>1643</v>
      </c>
      <c r="AD142" s="84"/>
      <c r="AE142" s="84" t="b">
        <v>0</v>
      </c>
      <c r="AF142" s="84">
        <v>0</v>
      </c>
      <c r="AG142" s="92" t="s">
        <v>1724</v>
      </c>
      <c r="AH142" s="84" t="b">
        <v>0</v>
      </c>
      <c r="AI142" s="84" t="s">
        <v>1750</v>
      </c>
      <c r="AJ142" s="84"/>
      <c r="AK142" s="92" t="s">
        <v>1724</v>
      </c>
      <c r="AL142" s="84" t="b">
        <v>0</v>
      </c>
      <c r="AM142" s="84">
        <v>0</v>
      </c>
      <c r="AN142" s="92" t="s">
        <v>1724</v>
      </c>
      <c r="AO142" s="84" t="s">
        <v>1764</v>
      </c>
      <c r="AP142" s="84" t="b">
        <v>0</v>
      </c>
      <c r="AQ142" s="92" t="s">
        <v>1643</v>
      </c>
      <c r="AR142" s="84" t="s">
        <v>179</v>
      </c>
      <c r="AS142" s="84">
        <v>0</v>
      </c>
      <c r="AT142" s="84">
        <v>0</v>
      </c>
      <c r="AU142" s="84"/>
      <c r="AV142" s="84"/>
      <c r="AW142" s="84"/>
      <c r="AX142" s="84"/>
      <c r="AY142" s="84"/>
      <c r="AZ142" s="84"/>
      <c r="BA142" s="84"/>
      <c r="BB142" s="84"/>
    </row>
    <row r="143" spans="1:54" x14ac:dyDescent="0.2">
      <c r="A143" s="69" t="s">
        <v>387</v>
      </c>
      <c r="B143" s="69" t="s">
        <v>456</v>
      </c>
      <c r="C143" s="70"/>
      <c r="D143" s="71"/>
      <c r="E143" s="72"/>
      <c r="F143" s="73"/>
      <c r="G143" s="70"/>
      <c r="H143" s="74"/>
      <c r="I143" s="75"/>
      <c r="J143" s="75"/>
      <c r="K143" s="36"/>
      <c r="L143" s="82"/>
      <c r="M143" s="82"/>
      <c r="N143" s="77"/>
      <c r="O143" s="84" t="s">
        <v>500</v>
      </c>
      <c r="P143" s="86">
        <v>44023.703518518516</v>
      </c>
      <c r="Q143" s="84" t="s">
        <v>657</v>
      </c>
      <c r="R143" s="84"/>
      <c r="S143" s="84"/>
      <c r="T143" s="84" t="s">
        <v>834</v>
      </c>
      <c r="U143" s="84"/>
      <c r="V143" s="87" t="str">
        <f>HYPERLINK("http://pbs.twimg.com/profile_images/924392479155093504/y4_q8IRU_normal.jpg")</f>
        <v>http://pbs.twimg.com/profile_images/924392479155093504/y4_q8IRU_normal.jpg</v>
      </c>
      <c r="W143" s="86">
        <v>44023.703518518516</v>
      </c>
      <c r="X143" s="90">
        <v>44023</v>
      </c>
      <c r="Y143" s="92" t="s">
        <v>1113</v>
      </c>
      <c r="Z143" s="87" t="str">
        <f>HYPERLINK("https://twitter.com/kguegallagher/status/1281994931960070144")</f>
        <v>https://twitter.com/kguegallagher/status/1281994931960070144</v>
      </c>
      <c r="AA143" s="84"/>
      <c r="AB143" s="84"/>
      <c r="AC143" s="92" t="s">
        <v>1532</v>
      </c>
      <c r="AD143" s="84"/>
      <c r="AE143" s="84" t="b">
        <v>0</v>
      </c>
      <c r="AF143" s="84">
        <v>0</v>
      </c>
      <c r="AG143" s="92" t="s">
        <v>1724</v>
      </c>
      <c r="AH143" s="84" t="b">
        <v>0</v>
      </c>
      <c r="AI143" s="84" t="s">
        <v>1751</v>
      </c>
      <c r="AJ143" s="84"/>
      <c r="AK143" s="92" t="s">
        <v>1724</v>
      </c>
      <c r="AL143" s="84" t="b">
        <v>0</v>
      </c>
      <c r="AM143" s="84">
        <v>51</v>
      </c>
      <c r="AN143" s="92" t="s">
        <v>1680</v>
      </c>
      <c r="AO143" s="84" t="s">
        <v>1763</v>
      </c>
      <c r="AP143" s="84" t="b">
        <v>0</v>
      </c>
      <c r="AQ143" s="92" t="s">
        <v>1680</v>
      </c>
      <c r="AR143" s="84" t="s">
        <v>179</v>
      </c>
      <c r="AS143" s="84">
        <v>0</v>
      </c>
      <c r="AT143" s="84">
        <v>0</v>
      </c>
      <c r="AU143" s="84"/>
      <c r="AV143" s="84"/>
      <c r="AW143" s="84"/>
      <c r="AX143" s="84"/>
      <c r="AY143" s="84"/>
      <c r="AZ143" s="84"/>
      <c r="BA143" s="84"/>
      <c r="BB143" s="84"/>
    </row>
    <row r="144" spans="1:54" x14ac:dyDescent="0.2">
      <c r="A144" s="69" t="s">
        <v>386</v>
      </c>
      <c r="B144" s="69" t="s">
        <v>386</v>
      </c>
      <c r="C144" s="70"/>
      <c r="D144" s="71"/>
      <c r="E144" s="72"/>
      <c r="F144" s="73"/>
      <c r="G144" s="70"/>
      <c r="H144" s="74"/>
      <c r="I144" s="75"/>
      <c r="J144" s="75"/>
      <c r="K144" s="36"/>
      <c r="L144" s="82"/>
      <c r="M144" s="82"/>
      <c r="N144" s="77"/>
      <c r="O144" s="84" t="s">
        <v>179</v>
      </c>
      <c r="P144" s="86">
        <v>44023.702777777777</v>
      </c>
      <c r="Q144" s="84" t="s">
        <v>686</v>
      </c>
      <c r="R144" s="84"/>
      <c r="S144" s="84"/>
      <c r="T144" s="84" t="s">
        <v>841</v>
      </c>
      <c r="U144" s="87" t="str">
        <f>HYPERLINK("https://pbs.twimg.com/ext_tw_video_thumb/1281994616762503174/pu/img/SQIHKPUOuHzJhM64.jpg")</f>
        <v>https://pbs.twimg.com/ext_tw_video_thumb/1281994616762503174/pu/img/SQIHKPUOuHzJhM64.jpg</v>
      </c>
      <c r="V144" s="87" t="str">
        <f>HYPERLINK("https://pbs.twimg.com/ext_tw_video_thumb/1281994616762503174/pu/img/SQIHKPUOuHzJhM64.jpg")</f>
        <v>https://pbs.twimg.com/ext_tw_video_thumb/1281994616762503174/pu/img/SQIHKPUOuHzJhM64.jpg</v>
      </c>
      <c r="W144" s="86">
        <v>44023.702777777777</v>
      </c>
      <c r="X144" s="90">
        <v>44023</v>
      </c>
      <c r="Y144" s="92" t="s">
        <v>1112</v>
      </c>
      <c r="Z144" s="87" t="str">
        <f>HYPERLINK("https://twitter.com/dissidentpr1/status/1281994660530061312")</f>
        <v>https://twitter.com/dissidentpr1/status/1281994660530061312</v>
      </c>
      <c r="AA144" s="84"/>
      <c r="AB144" s="84"/>
      <c r="AC144" s="92" t="s">
        <v>1531</v>
      </c>
      <c r="AD144" s="84"/>
      <c r="AE144" s="84" t="b">
        <v>0</v>
      </c>
      <c r="AF144" s="84">
        <v>0</v>
      </c>
      <c r="AG144" s="92" t="s">
        <v>1724</v>
      </c>
      <c r="AH144" s="84" t="b">
        <v>0</v>
      </c>
      <c r="AI144" s="84" t="s">
        <v>1751</v>
      </c>
      <c r="AJ144" s="84"/>
      <c r="AK144" s="92" t="s">
        <v>1724</v>
      </c>
      <c r="AL144" s="84" t="b">
        <v>0</v>
      </c>
      <c r="AM144" s="84">
        <v>0</v>
      </c>
      <c r="AN144" s="92" t="s">
        <v>1724</v>
      </c>
      <c r="AO144" s="84" t="s">
        <v>1764</v>
      </c>
      <c r="AP144" s="84" t="b">
        <v>0</v>
      </c>
      <c r="AQ144" s="92" t="s">
        <v>1531</v>
      </c>
      <c r="AR144" s="84" t="s">
        <v>179</v>
      </c>
      <c r="AS144" s="84">
        <v>0</v>
      </c>
      <c r="AT144" s="84">
        <v>0</v>
      </c>
      <c r="AU144" s="84"/>
      <c r="AV144" s="84"/>
      <c r="AW144" s="84"/>
      <c r="AX144" s="84"/>
      <c r="AY144" s="84"/>
      <c r="AZ144" s="84"/>
      <c r="BA144" s="84"/>
      <c r="BB144" s="84"/>
    </row>
    <row r="145" spans="1:54" x14ac:dyDescent="0.2">
      <c r="A145" s="69" t="s">
        <v>385</v>
      </c>
      <c r="B145" s="69" t="s">
        <v>456</v>
      </c>
      <c r="C145" s="70"/>
      <c r="D145" s="71"/>
      <c r="E145" s="72"/>
      <c r="F145" s="73"/>
      <c r="G145" s="70"/>
      <c r="H145" s="74"/>
      <c r="I145" s="75"/>
      <c r="J145" s="75"/>
      <c r="K145" s="36"/>
      <c r="L145" s="82"/>
      <c r="M145" s="82"/>
      <c r="N145" s="77"/>
      <c r="O145" s="84" t="s">
        <v>500</v>
      </c>
      <c r="P145" s="86">
        <v>44023.698923611111</v>
      </c>
      <c r="Q145" s="84" t="s">
        <v>657</v>
      </c>
      <c r="R145" s="84"/>
      <c r="S145" s="84"/>
      <c r="T145" s="84" t="s">
        <v>834</v>
      </c>
      <c r="U145" s="84"/>
      <c r="V145" s="87" t="str">
        <f>HYPERLINK("http://pbs.twimg.com/profile_images/1250901988524597252/lda_v6f4_normal.jpg")</f>
        <v>http://pbs.twimg.com/profile_images/1250901988524597252/lda_v6f4_normal.jpg</v>
      </c>
      <c r="W145" s="86">
        <v>44023.698923611111</v>
      </c>
      <c r="X145" s="90">
        <v>44023</v>
      </c>
      <c r="Y145" s="92" t="s">
        <v>1111</v>
      </c>
      <c r="Z145" s="87" t="str">
        <f>HYPERLINK("https://twitter.com/scoopalou/status/1281993265219280901")</f>
        <v>https://twitter.com/scoopalou/status/1281993265219280901</v>
      </c>
      <c r="AA145" s="84"/>
      <c r="AB145" s="84"/>
      <c r="AC145" s="92" t="s">
        <v>1530</v>
      </c>
      <c r="AD145" s="84"/>
      <c r="AE145" s="84" t="b">
        <v>0</v>
      </c>
      <c r="AF145" s="84">
        <v>0</v>
      </c>
      <c r="AG145" s="92" t="s">
        <v>1724</v>
      </c>
      <c r="AH145" s="84" t="b">
        <v>0</v>
      </c>
      <c r="AI145" s="84" t="s">
        <v>1751</v>
      </c>
      <c r="AJ145" s="84"/>
      <c r="AK145" s="92" t="s">
        <v>1724</v>
      </c>
      <c r="AL145" s="84" t="b">
        <v>0</v>
      </c>
      <c r="AM145" s="84">
        <v>51</v>
      </c>
      <c r="AN145" s="92" t="s">
        <v>1680</v>
      </c>
      <c r="AO145" s="84" t="s">
        <v>1763</v>
      </c>
      <c r="AP145" s="84" t="b">
        <v>0</v>
      </c>
      <c r="AQ145" s="92" t="s">
        <v>1680</v>
      </c>
      <c r="AR145" s="84" t="s">
        <v>179</v>
      </c>
      <c r="AS145" s="84">
        <v>0</v>
      </c>
      <c r="AT145" s="84">
        <v>0</v>
      </c>
      <c r="AU145" s="84"/>
      <c r="AV145" s="84"/>
      <c r="AW145" s="84"/>
      <c r="AX145" s="84"/>
      <c r="AY145" s="84"/>
      <c r="AZ145" s="84"/>
      <c r="BA145" s="84"/>
      <c r="BB145" s="84"/>
    </row>
    <row r="146" spans="1:54" x14ac:dyDescent="0.2">
      <c r="A146" s="69" t="s">
        <v>384</v>
      </c>
      <c r="B146" s="69" t="s">
        <v>456</v>
      </c>
      <c r="C146" s="70"/>
      <c r="D146" s="71"/>
      <c r="E146" s="72"/>
      <c r="F146" s="73"/>
      <c r="G146" s="70"/>
      <c r="H146" s="74"/>
      <c r="I146" s="75"/>
      <c r="J146" s="75"/>
      <c r="K146" s="36"/>
      <c r="L146" s="82"/>
      <c r="M146" s="82"/>
      <c r="N146" s="77"/>
      <c r="O146" s="84" t="s">
        <v>500</v>
      </c>
      <c r="P146" s="86">
        <v>44023.690717592595</v>
      </c>
      <c r="Q146" s="84" t="s">
        <v>657</v>
      </c>
      <c r="R146" s="84"/>
      <c r="S146" s="84"/>
      <c r="T146" s="84" t="s">
        <v>834</v>
      </c>
      <c r="U146" s="84"/>
      <c r="V146" s="87" t="str">
        <f>HYPERLINK("http://pbs.twimg.com/profile_images/1193949223273799680/-xeedv1A_normal.jpg")</f>
        <v>http://pbs.twimg.com/profile_images/1193949223273799680/-xeedv1A_normal.jpg</v>
      </c>
      <c r="W146" s="86">
        <v>44023.690717592595</v>
      </c>
      <c r="X146" s="90">
        <v>44023</v>
      </c>
      <c r="Y146" s="92" t="s">
        <v>1110</v>
      </c>
      <c r="Z146" s="87" t="str">
        <f>HYPERLINK("https://twitter.com/connor_mosher/status/1281990292246269952")</f>
        <v>https://twitter.com/connor_mosher/status/1281990292246269952</v>
      </c>
      <c r="AA146" s="84"/>
      <c r="AB146" s="84"/>
      <c r="AC146" s="92" t="s">
        <v>1529</v>
      </c>
      <c r="AD146" s="84"/>
      <c r="AE146" s="84" t="b">
        <v>0</v>
      </c>
      <c r="AF146" s="84">
        <v>0</v>
      </c>
      <c r="AG146" s="92" t="s">
        <v>1724</v>
      </c>
      <c r="AH146" s="84" t="b">
        <v>0</v>
      </c>
      <c r="AI146" s="84" t="s">
        <v>1751</v>
      </c>
      <c r="AJ146" s="84"/>
      <c r="AK146" s="92" t="s">
        <v>1724</v>
      </c>
      <c r="AL146" s="84" t="b">
        <v>0</v>
      </c>
      <c r="AM146" s="84">
        <v>51</v>
      </c>
      <c r="AN146" s="92" t="s">
        <v>1680</v>
      </c>
      <c r="AO146" s="84" t="s">
        <v>1763</v>
      </c>
      <c r="AP146" s="84" t="b">
        <v>0</v>
      </c>
      <c r="AQ146" s="92" t="s">
        <v>1680</v>
      </c>
      <c r="AR146" s="84" t="s">
        <v>179</v>
      </c>
      <c r="AS146" s="84">
        <v>0</v>
      </c>
      <c r="AT146" s="84">
        <v>0</v>
      </c>
      <c r="AU146" s="84"/>
      <c r="AV146" s="84"/>
      <c r="AW146" s="84"/>
      <c r="AX146" s="84"/>
      <c r="AY146" s="84"/>
      <c r="AZ146" s="84"/>
      <c r="BA146" s="84"/>
      <c r="BB146" s="84"/>
    </row>
    <row r="147" spans="1:54" x14ac:dyDescent="0.2">
      <c r="A147" s="69" t="s">
        <v>383</v>
      </c>
      <c r="B147" s="69" t="s">
        <v>383</v>
      </c>
      <c r="C147" s="70"/>
      <c r="D147" s="71"/>
      <c r="E147" s="72"/>
      <c r="F147" s="73"/>
      <c r="G147" s="70"/>
      <c r="H147" s="74"/>
      <c r="I147" s="75"/>
      <c r="J147" s="75"/>
      <c r="K147" s="36"/>
      <c r="L147" s="82"/>
      <c r="M147" s="82"/>
      <c r="N147" s="77"/>
      <c r="O147" s="84" t="s">
        <v>179</v>
      </c>
      <c r="P147" s="86">
        <v>44023.670451388891</v>
      </c>
      <c r="Q147" s="84" t="s">
        <v>685</v>
      </c>
      <c r="R147" s="84"/>
      <c r="S147" s="84"/>
      <c r="T147" s="84" t="s">
        <v>781</v>
      </c>
      <c r="U147" s="84"/>
      <c r="V147" s="87" t="str">
        <f>HYPERLINK("http://pbs.twimg.com/profile_images/1194592053910335488/hjXa5Yk5_normal.jpg")</f>
        <v>http://pbs.twimg.com/profile_images/1194592053910335488/hjXa5Yk5_normal.jpg</v>
      </c>
      <c r="W147" s="86">
        <v>44023.670451388891</v>
      </c>
      <c r="X147" s="90">
        <v>44023</v>
      </c>
      <c r="Y147" s="92" t="s">
        <v>1109</v>
      </c>
      <c r="Z147" s="87" t="str">
        <f>HYPERLINK("https://twitter.com/mihoppy_pokego/status/1281982946174357504")</f>
        <v>https://twitter.com/mihoppy_pokego/status/1281982946174357504</v>
      </c>
      <c r="AA147" s="84"/>
      <c r="AB147" s="84"/>
      <c r="AC147" s="92" t="s">
        <v>1528</v>
      </c>
      <c r="AD147" s="84"/>
      <c r="AE147" s="84" t="b">
        <v>0</v>
      </c>
      <c r="AF147" s="84">
        <v>32</v>
      </c>
      <c r="AG147" s="92" t="s">
        <v>1724</v>
      </c>
      <c r="AH147" s="84" t="b">
        <v>0</v>
      </c>
      <c r="AI147" s="84" t="s">
        <v>1750</v>
      </c>
      <c r="AJ147" s="84"/>
      <c r="AK147" s="92" t="s">
        <v>1724</v>
      </c>
      <c r="AL147" s="84" t="b">
        <v>0</v>
      </c>
      <c r="AM147" s="84">
        <v>0</v>
      </c>
      <c r="AN147" s="92" t="s">
        <v>1724</v>
      </c>
      <c r="AO147" s="84" t="s">
        <v>1764</v>
      </c>
      <c r="AP147" s="84" t="b">
        <v>0</v>
      </c>
      <c r="AQ147" s="92" t="s">
        <v>1528</v>
      </c>
      <c r="AR147" s="84" t="s">
        <v>179</v>
      </c>
      <c r="AS147" s="84">
        <v>0</v>
      </c>
      <c r="AT147" s="84">
        <v>0</v>
      </c>
      <c r="AU147" s="84"/>
      <c r="AV147" s="84"/>
      <c r="AW147" s="84"/>
      <c r="AX147" s="84"/>
      <c r="AY147" s="84"/>
      <c r="AZ147" s="84"/>
      <c r="BA147" s="84"/>
      <c r="BB147" s="84"/>
    </row>
    <row r="148" spans="1:54" x14ac:dyDescent="0.2">
      <c r="A148" s="69" t="s">
        <v>382</v>
      </c>
      <c r="B148" s="69" t="s">
        <v>456</v>
      </c>
      <c r="C148" s="70"/>
      <c r="D148" s="71"/>
      <c r="E148" s="72"/>
      <c r="F148" s="73"/>
      <c r="G148" s="70"/>
      <c r="H148" s="74"/>
      <c r="I148" s="75"/>
      <c r="J148" s="75"/>
      <c r="K148" s="36"/>
      <c r="L148" s="82"/>
      <c r="M148" s="82"/>
      <c r="N148" s="77"/>
      <c r="O148" s="84" t="s">
        <v>500</v>
      </c>
      <c r="P148" s="86">
        <v>44023.654791666668</v>
      </c>
      <c r="Q148" s="84" t="s">
        <v>657</v>
      </c>
      <c r="R148" s="84"/>
      <c r="S148" s="84"/>
      <c r="T148" s="84" t="s">
        <v>834</v>
      </c>
      <c r="U148" s="84"/>
      <c r="V148" s="87" t="str">
        <f>HYPERLINK("http://pbs.twimg.com/profile_images/876780477096620033/TIBpQx48_normal.jpg")</f>
        <v>http://pbs.twimg.com/profile_images/876780477096620033/TIBpQx48_normal.jpg</v>
      </c>
      <c r="W148" s="86">
        <v>44023.654791666668</v>
      </c>
      <c r="X148" s="90">
        <v>44023</v>
      </c>
      <c r="Y148" s="92" t="s">
        <v>1108</v>
      </c>
      <c r="Z148" s="87" t="str">
        <f>HYPERLINK("https://twitter.com/ianbursillphoto/status/1281977271113453568")</f>
        <v>https://twitter.com/ianbursillphoto/status/1281977271113453568</v>
      </c>
      <c r="AA148" s="84"/>
      <c r="AB148" s="84"/>
      <c r="AC148" s="92" t="s">
        <v>1527</v>
      </c>
      <c r="AD148" s="84"/>
      <c r="AE148" s="84" t="b">
        <v>0</v>
      </c>
      <c r="AF148" s="84">
        <v>0</v>
      </c>
      <c r="AG148" s="92" t="s">
        <v>1724</v>
      </c>
      <c r="AH148" s="84" t="b">
        <v>0</v>
      </c>
      <c r="AI148" s="84" t="s">
        <v>1751</v>
      </c>
      <c r="AJ148" s="84"/>
      <c r="AK148" s="92" t="s">
        <v>1724</v>
      </c>
      <c r="AL148" s="84" t="b">
        <v>0</v>
      </c>
      <c r="AM148" s="84">
        <v>51</v>
      </c>
      <c r="AN148" s="92" t="s">
        <v>1680</v>
      </c>
      <c r="AO148" s="84" t="s">
        <v>1763</v>
      </c>
      <c r="AP148" s="84" t="b">
        <v>0</v>
      </c>
      <c r="AQ148" s="92" t="s">
        <v>1680</v>
      </c>
      <c r="AR148" s="84" t="s">
        <v>179</v>
      </c>
      <c r="AS148" s="84">
        <v>0</v>
      </c>
      <c r="AT148" s="84">
        <v>0</v>
      </c>
      <c r="AU148" s="84"/>
      <c r="AV148" s="84"/>
      <c r="AW148" s="84"/>
      <c r="AX148" s="84"/>
      <c r="AY148" s="84"/>
      <c r="AZ148" s="84"/>
      <c r="BA148" s="84"/>
      <c r="BB148" s="84"/>
    </row>
    <row r="149" spans="1:54" x14ac:dyDescent="0.2">
      <c r="A149" s="69" t="s">
        <v>381</v>
      </c>
      <c r="B149" s="69" t="s">
        <v>456</v>
      </c>
      <c r="C149" s="70"/>
      <c r="D149" s="71"/>
      <c r="E149" s="72"/>
      <c r="F149" s="73"/>
      <c r="G149" s="70"/>
      <c r="H149" s="74"/>
      <c r="I149" s="75"/>
      <c r="J149" s="75"/>
      <c r="K149" s="36"/>
      <c r="L149" s="82"/>
      <c r="M149" s="82"/>
      <c r="N149" s="77"/>
      <c r="O149" s="84" t="s">
        <v>500</v>
      </c>
      <c r="P149" s="86">
        <v>44023.649826388886</v>
      </c>
      <c r="Q149" s="84" t="s">
        <v>657</v>
      </c>
      <c r="R149" s="84"/>
      <c r="S149" s="84"/>
      <c r="T149" s="84" t="s">
        <v>834</v>
      </c>
      <c r="U149" s="84"/>
      <c r="V149" s="87" t="str">
        <f>HYPERLINK("http://pbs.twimg.com/profile_images/1241559086363111424/i6C9bonf_normal.jpg")</f>
        <v>http://pbs.twimg.com/profile_images/1241559086363111424/i6C9bonf_normal.jpg</v>
      </c>
      <c r="W149" s="86">
        <v>44023.649826388886</v>
      </c>
      <c r="X149" s="90">
        <v>44023</v>
      </c>
      <c r="Y149" s="92" t="s">
        <v>1107</v>
      </c>
      <c r="Z149" s="87" t="str">
        <f>HYPERLINK("https://twitter.com/humbert42454958/status/1281975472579125251")</f>
        <v>https://twitter.com/humbert42454958/status/1281975472579125251</v>
      </c>
      <c r="AA149" s="84"/>
      <c r="AB149" s="84"/>
      <c r="AC149" s="92" t="s">
        <v>1526</v>
      </c>
      <c r="AD149" s="84"/>
      <c r="AE149" s="84" t="b">
        <v>0</v>
      </c>
      <c r="AF149" s="84">
        <v>0</v>
      </c>
      <c r="AG149" s="92" t="s">
        <v>1724</v>
      </c>
      <c r="AH149" s="84" t="b">
        <v>0</v>
      </c>
      <c r="AI149" s="84" t="s">
        <v>1751</v>
      </c>
      <c r="AJ149" s="84"/>
      <c r="AK149" s="92" t="s">
        <v>1724</v>
      </c>
      <c r="AL149" s="84" t="b">
        <v>0</v>
      </c>
      <c r="AM149" s="84">
        <v>51</v>
      </c>
      <c r="AN149" s="92" t="s">
        <v>1680</v>
      </c>
      <c r="AO149" s="84" t="s">
        <v>1763</v>
      </c>
      <c r="AP149" s="84" t="b">
        <v>0</v>
      </c>
      <c r="AQ149" s="92" t="s">
        <v>1680</v>
      </c>
      <c r="AR149" s="84" t="s">
        <v>179</v>
      </c>
      <c r="AS149" s="84">
        <v>0</v>
      </c>
      <c r="AT149" s="84">
        <v>0</v>
      </c>
      <c r="AU149" s="84"/>
      <c r="AV149" s="84"/>
      <c r="AW149" s="84"/>
      <c r="AX149" s="84"/>
      <c r="AY149" s="84"/>
      <c r="AZ149" s="84"/>
      <c r="BA149" s="84"/>
      <c r="BB149" s="84"/>
    </row>
    <row r="150" spans="1:54" x14ac:dyDescent="0.2">
      <c r="A150" s="69" t="s">
        <v>380</v>
      </c>
      <c r="B150" s="69" t="s">
        <v>449</v>
      </c>
      <c r="C150" s="70"/>
      <c r="D150" s="71"/>
      <c r="E150" s="72"/>
      <c r="F150" s="73"/>
      <c r="G150" s="70"/>
      <c r="H150" s="74"/>
      <c r="I150" s="75"/>
      <c r="J150" s="75"/>
      <c r="K150" s="36"/>
      <c r="L150" s="82"/>
      <c r="M150" s="82"/>
      <c r="N150" s="77"/>
      <c r="O150" s="84" t="s">
        <v>500</v>
      </c>
      <c r="P150" s="86">
        <v>44023.624768518515</v>
      </c>
      <c r="Q150" s="84" t="s">
        <v>683</v>
      </c>
      <c r="R150" s="84"/>
      <c r="S150" s="84"/>
      <c r="T150" s="84" t="s">
        <v>840</v>
      </c>
      <c r="U150" s="84"/>
      <c r="V150" s="87" t="str">
        <f>HYPERLINK("http://pbs.twimg.com/profile_images/1257081906601922560/rGu4T3B2_normal.jpg")</f>
        <v>http://pbs.twimg.com/profile_images/1257081906601922560/rGu4T3B2_normal.jpg</v>
      </c>
      <c r="W150" s="86">
        <v>44023.624768518515</v>
      </c>
      <c r="X150" s="90">
        <v>44023</v>
      </c>
      <c r="Y150" s="92" t="s">
        <v>1106</v>
      </c>
      <c r="Z150" s="87" t="str">
        <f>HYPERLINK("https://twitter.com/thedesigner_17/status/1281966392317599750")</f>
        <v>https://twitter.com/thedesigner_17/status/1281966392317599750</v>
      </c>
      <c r="AA150" s="84"/>
      <c r="AB150" s="84"/>
      <c r="AC150" s="92" t="s">
        <v>1525</v>
      </c>
      <c r="AD150" s="84"/>
      <c r="AE150" s="84" t="b">
        <v>0</v>
      </c>
      <c r="AF150" s="84">
        <v>0</v>
      </c>
      <c r="AG150" s="92" t="s">
        <v>1724</v>
      </c>
      <c r="AH150" s="84" t="b">
        <v>0</v>
      </c>
      <c r="AI150" s="84" t="s">
        <v>1751</v>
      </c>
      <c r="AJ150" s="84"/>
      <c r="AK150" s="92" t="s">
        <v>1724</v>
      </c>
      <c r="AL150" s="84" t="b">
        <v>0</v>
      </c>
      <c r="AM150" s="84">
        <v>3</v>
      </c>
      <c r="AN150" s="92" t="s">
        <v>1672</v>
      </c>
      <c r="AO150" s="84" t="s">
        <v>1766</v>
      </c>
      <c r="AP150" s="84" t="b">
        <v>0</v>
      </c>
      <c r="AQ150" s="92" t="s">
        <v>1672</v>
      </c>
      <c r="AR150" s="84" t="s">
        <v>179</v>
      </c>
      <c r="AS150" s="84">
        <v>0</v>
      </c>
      <c r="AT150" s="84">
        <v>0</v>
      </c>
      <c r="AU150" s="84"/>
      <c r="AV150" s="84"/>
      <c r="AW150" s="84"/>
      <c r="AX150" s="84"/>
      <c r="AY150" s="84"/>
      <c r="AZ150" s="84"/>
      <c r="BA150" s="84"/>
      <c r="BB150" s="84"/>
    </row>
    <row r="151" spans="1:54" x14ac:dyDescent="0.2">
      <c r="A151" s="69" t="s">
        <v>379</v>
      </c>
      <c r="B151" s="69" t="s">
        <v>482</v>
      </c>
      <c r="C151" s="70"/>
      <c r="D151" s="71"/>
      <c r="E151" s="72"/>
      <c r="F151" s="73"/>
      <c r="G151" s="70"/>
      <c r="H151" s="74"/>
      <c r="I151" s="75"/>
      <c r="J151" s="75"/>
      <c r="K151" s="36"/>
      <c r="L151" s="82"/>
      <c r="M151" s="82"/>
      <c r="N151" s="77"/>
      <c r="O151" s="84" t="s">
        <v>501</v>
      </c>
      <c r="P151" s="86">
        <v>44023.610972222225</v>
      </c>
      <c r="Q151" s="84" t="s">
        <v>684</v>
      </c>
      <c r="R151" s="84"/>
      <c r="S151" s="84"/>
      <c r="T151" s="84" t="s">
        <v>781</v>
      </c>
      <c r="U151" s="84"/>
      <c r="V151" s="87" t="str">
        <f>HYPERLINK("http://pbs.twimg.com/profile_images/1213321809656836098/E_J-VoCp_normal.jpg")</f>
        <v>http://pbs.twimg.com/profile_images/1213321809656836098/E_J-VoCp_normal.jpg</v>
      </c>
      <c r="W151" s="86">
        <v>44023.610972222225</v>
      </c>
      <c r="X151" s="90">
        <v>44023</v>
      </c>
      <c r="Y151" s="92" t="s">
        <v>1105</v>
      </c>
      <c r="Z151" s="87" t="str">
        <f>HYPERLINK("https://twitter.com/aryservant/status/1281961391537025029")</f>
        <v>https://twitter.com/aryservant/status/1281961391537025029</v>
      </c>
      <c r="AA151" s="84"/>
      <c r="AB151" s="84"/>
      <c r="AC151" s="92" t="s">
        <v>1524</v>
      </c>
      <c r="AD151" s="92" t="s">
        <v>1713</v>
      </c>
      <c r="AE151" s="84" t="b">
        <v>0</v>
      </c>
      <c r="AF151" s="84">
        <v>2</v>
      </c>
      <c r="AG151" s="92" t="s">
        <v>1739</v>
      </c>
      <c r="AH151" s="84" t="b">
        <v>0</v>
      </c>
      <c r="AI151" s="84" t="s">
        <v>1751</v>
      </c>
      <c r="AJ151" s="84"/>
      <c r="AK151" s="92" t="s">
        <v>1724</v>
      </c>
      <c r="AL151" s="84" t="b">
        <v>0</v>
      </c>
      <c r="AM151" s="84">
        <v>0</v>
      </c>
      <c r="AN151" s="92" t="s">
        <v>1724</v>
      </c>
      <c r="AO151" s="84" t="s">
        <v>1763</v>
      </c>
      <c r="AP151" s="84" t="b">
        <v>0</v>
      </c>
      <c r="AQ151" s="92" t="s">
        <v>1713</v>
      </c>
      <c r="AR151" s="84" t="s">
        <v>179</v>
      </c>
      <c r="AS151" s="84">
        <v>0</v>
      </c>
      <c r="AT151" s="84">
        <v>0</v>
      </c>
      <c r="AU151" s="84"/>
      <c r="AV151" s="84"/>
      <c r="AW151" s="84"/>
      <c r="AX151" s="84"/>
      <c r="AY151" s="84"/>
      <c r="AZ151" s="84"/>
      <c r="BA151" s="84"/>
      <c r="BB151" s="84"/>
    </row>
    <row r="152" spans="1:54" x14ac:dyDescent="0.2">
      <c r="A152" s="69" t="s">
        <v>379</v>
      </c>
      <c r="B152" s="69" t="s">
        <v>483</v>
      </c>
      <c r="C152" s="70"/>
      <c r="D152" s="71"/>
      <c r="E152" s="72"/>
      <c r="F152" s="73"/>
      <c r="G152" s="70"/>
      <c r="H152" s="74"/>
      <c r="I152" s="75"/>
      <c r="J152" s="75"/>
      <c r="K152" s="36"/>
      <c r="L152" s="82"/>
      <c r="M152" s="82"/>
      <c r="N152" s="77"/>
      <c r="O152" s="84" t="s">
        <v>501</v>
      </c>
      <c r="P152" s="86">
        <v>44023.610972222225</v>
      </c>
      <c r="Q152" s="84" t="s">
        <v>684</v>
      </c>
      <c r="R152" s="84"/>
      <c r="S152" s="84"/>
      <c r="T152" s="84" t="s">
        <v>781</v>
      </c>
      <c r="U152" s="84"/>
      <c r="V152" s="87" t="str">
        <f>HYPERLINK("http://pbs.twimg.com/profile_images/1213321809656836098/E_J-VoCp_normal.jpg")</f>
        <v>http://pbs.twimg.com/profile_images/1213321809656836098/E_J-VoCp_normal.jpg</v>
      </c>
      <c r="W152" s="86">
        <v>44023.610972222225</v>
      </c>
      <c r="X152" s="90">
        <v>44023</v>
      </c>
      <c r="Y152" s="92" t="s">
        <v>1105</v>
      </c>
      <c r="Z152" s="87" t="str">
        <f>HYPERLINK("https://twitter.com/aryservant/status/1281961391537025029")</f>
        <v>https://twitter.com/aryservant/status/1281961391537025029</v>
      </c>
      <c r="AA152" s="84"/>
      <c r="AB152" s="84"/>
      <c r="AC152" s="92" t="s">
        <v>1524</v>
      </c>
      <c r="AD152" s="92" t="s">
        <v>1713</v>
      </c>
      <c r="AE152" s="84" t="b">
        <v>0</v>
      </c>
      <c r="AF152" s="84">
        <v>2</v>
      </c>
      <c r="AG152" s="92" t="s">
        <v>1739</v>
      </c>
      <c r="AH152" s="84" t="b">
        <v>0</v>
      </c>
      <c r="AI152" s="84" t="s">
        <v>1751</v>
      </c>
      <c r="AJ152" s="84"/>
      <c r="AK152" s="92" t="s">
        <v>1724</v>
      </c>
      <c r="AL152" s="84" t="b">
        <v>0</v>
      </c>
      <c r="AM152" s="84">
        <v>0</v>
      </c>
      <c r="AN152" s="92" t="s">
        <v>1724</v>
      </c>
      <c r="AO152" s="84" t="s">
        <v>1763</v>
      </c>
      <c r="AP152" s="84" t="b">
        <v>0</v>
      </c>
      <c r="AQ152" s="92" t="s">
        <v>1713</v>
      </c>
      <c r="AR152" s="84" t="s">
        <v>179</v>
      </c>
      <c r="AS152" s="84">
        <v>0</v>
      </c>
      <c r="AT152" s="84">
        <v>0</v>
      </c>
      <c r="AU152" s="84"/>
      <c r="AV152" s="84"/>
      <c r="AW152" s="84"/>
      <c r="AX152" s="84"/>
      <c r="AY152" s="84"/>
      <c r="AZ152" s="84"/>
      <c r="BA152" s="84"/>
      <c r="BB152" s="84"/>
    </row>
    <row r="153" spans="1:54" x14ac:dyDescent="0.2">
      <c r="A153" s="69" t="s">
        <v>379</v>
      </c>
      <c r="B153" s="69" t="s">
        <v>484</v>
      </c>
      <c r="C153" s="70"/>
      <c r="D153" s="71"/>
      <c r="E153" s="72"/>
      <c r="F153" s="73"/>
      <c r="G153" s="70"/>
      <c r="H153" s="74"/>
      <c r="I153" s="75"/>
      <c r="J153" s="75"/>
      <c r="K153" s="36"/>
      <c r="L153" s="82"/>
      <c r="M153" s="82"/>
      <c r="N153" s="77"/>
      <c r="O153" s="84" t="s">
        <v>503</v>
      </c>
      <c r="P153" s="86">
        <v>44023.610972222225</v>
      </c>
      <c r="Q153" s="84" t="s">
        <v>684</v>
      </c>
      <c r="R153" s="84"/>
      <c r="S153" s="84"/>
      <c r="T153" s="84" t="s">
        <v>781</v>
      </c>
      <c r="U153" s="84"/>
      <c r="V153" s="87" t="str">
        <f>HYPERLINK("http://pbs.twimg.com/profile_images/1213321809656836098/E_J-VoCp_normal.jpg")</f>
        <v>http://pbs.twimg.com/profile_images/1213321809656836098/E_J-VoCp_normal.jpg</v>
      </c>
      <c r="W153" s="86">
        <v>44023.610972222225</v>
      </c>
      <c r="X153" s="90">
        <v>44023</v>
      </c>
      <c r="Y153" s="92" t="s">
        <v>1105</v>
      </c>
      <c r="Z153" s="87" t="str">
        <f>HYPERLINK("https://twitter.com/aryservant/status/1281961391537025029")</f>
        <v>https://twitter.com/aryservant/status/1281961391537025029</v>
      </c>
      <c r="AA153" s="84"/>
      <c r="AB153" s="84"/>
      <c r="AC153" s="92" t="s">
        <v>1524</v>
      </c>
      <c r="AD153" s="92" t="s">
        <v>1713</v>
      </c>
      <c r="AE153" s="84" t="b">
        <v>0</v>
      </c>
      <c r="AF153" s="84">
        <v>2</v>
      </c>
      <c r="AG153" s="92" t="s">
        <v>1739</v>
      </c>
      <c r="AH153" s="84" t="b">
        <v>0</v>
      </c>
      <c r="AI153" s="84" t="s">
        <v>1751</v>
      </c>
      <c r="AJ153" s="84"/>
      <c r="AK153" s="92" t="s">
        <v>1724</v>
      </c>
      <c r="AL153" s="84" t="b">
        <v>0</v>
      </c>
      <c r="AM153" s="84">
        <v>0</v>
      </c>
      <c r="AN153" s="92" t="s">
        <v>1724</v>
      </c>
      <c r="AO153" s="84" t="s">
        <v>1763</v>
      </c>
      <c r="AP153" s="84" t="b">
        <v>0</v>
      </c>
      <c r="AQ153" s="92" t="s">
        <v>1713</v>
      </c>
      <c r="AR153" s="84" t="s">
        <v>179</v>
      </c>
      <c r="AS153" s="84">
        <v>0</v>
      </c>
      <c r="AT153" s="84">
        <v>0</v>
      </c>
      <c r="AU153" s="84"/>
      <c r="AV153" s="84"/>
      <c r="AW153" s="84"/>
      <c r="AX153" s="84"/>
      <c r="AY153" s="84"/>
      <c r="AZ153" s="84"/>
      <c r="BA153" s="84"/>
      <c r="BB153" s="84"/>
    </row>
    <row r="154" spans="1:54" x14ac:dyDescent="0.2">
      <c r="A154" s="69" t="s">
        <v>378</v>
      </c>
      <c r="B154" s="69" t="s">
        <v>449</v>
      </c>
      <c r="C154" s="70"/>
      <c r="D154" s="71"/>
      <c r="E154" s="72"/>
      <c r="F154" s="73"/>
      <c r="G154" s="70"/>
      <c r="H154" s="74"/>
      <c r="I154" s="75"/>
      <c r="J154" s="75"/>
      <c r="K154" s="36"/>
      <c r="L154" s="82"/>
      <c r="M154" s="82"/>
      <c r="N154" s="77"/>
      <c r="O154" s="84" t="s">
        <v>500</v>
      </c>
      <c r="P154" s="86">
        <v>44023.610185185185</v>
      </c>
      <c r="Q154" s="84" t="s">
        <v>683</v>
      </c>
      <c r="R154" s="84"/>
      <c r="S154" s="84"/>
      <c r="T154" s="84" t="s">
        <v>840</v>
      </c>
      <c r="U154" s="84"/>
      <c r="V154" s="87" t="str">
        <f>HYPERLINK("http://pbs.twimg.com/profile_images/1267021882932498433/MpMbAtFX_normal.jpg")</f>
        <v>http://pbs.twimg.com/profile_images/1267021882932498433/MpMbAtFX_normal.jpg</v>
      </c>
      <c r="W154" s="86">
        <v>44023.610185185185</v>
      </c>
      <c r="X154" s="90">
        <v>44023</v>
      </c>
      <c r="Y154" s="92" t="s">
        <v>1104</v>
      </c>
      <c r="Z154" s="87" t="str">
        <f>HYPERLINK("https://twitter.com/lisa_cable/status/1281961110070079489")</f>
        <v>https://twitter.com/lisa_cable/status/1281961110070079489</v>
      </c>
      <c r="AA154" s="84"/>
      <c r="AB154" s="84"/>
      <c r="AC154" s="92" t="s">
        <v>1523</v>
      </c>
      <c r="AD154" s="84"/>
      <c r="AE154" s="84" t="b">
        <v>0</v>
      </c>
      <c r="AF154" s="84">
        <v>0</v>
      </c>
      <c r="AG154" s="92" t="s">
        <v>1724</v>
      </c>
      <c r="AH154" s="84" t="b">
        <v>0</v>
      </c>
      <c r="AI154" s="84" t="s">
        <v>1751</v>
      </c>
      <c r="AJ154" s="84"/>
      <c r="AK154" s="92" t="s">
        <v>1724</v>
      </c>
      <c r="AL154" s="84" t="b">
        <v>0</v>
      </c>
      <c r="AM154" s="84">
        <v>3</v>
      </c>
      <c r="AN154" s="92" t="s">
        <v>1672</v>
      </c>
      <c r="AO154" s="84" t="s">
        <v>1764</v>
      </c>
      <c r="AP154" s="84" t="b">
        <v>0</v>
      </c>
      <c r="AQ154" s="92" t="s">
        <v>1672</v>
      </c>
      <c r="AR154" s="84" t="s">
        <v>179</v>
      </c>
      <c r="AS154" s="84">
        <v>0</v>
      </c>
      <c r="AT154" s="84">
        <v>0</v>
      </c>
      <c r="AU154" s="84"/>
      <c r="AV154" s="84"/>
      <c r="AW154" s="84"/>
      <c r="AX154" s="84"/>
      <c r="AY154" s="84"/>
      <c r="AZ154" s="84"/>
      <c r="BA154" s="84"/>
      <c r="BB154" s="84"/>
    </row>
    <row r="155" spans="1:54" x14ac:dyDescent="0.2">
      <c r="A155" s="69" t="s">
        <v>377</v>
      </c>
      <c r="B155" s="69" t="s">
        <v>377</v>
      </c>
      <c r="C155" s="70"/>
      <c r="D155" s="71"/>
      <c r="E155" s="72"/>
      <c r="F155" s="73"/>
      <c r="G155" s="70"/>
      <c r="H155" s="74"/>
      <c r="I155" s="75"/>
      <c r="J155" s="75"/>
      <c r="K155" s="36"/>
      <c r="L155" s="82"/>
      <c r="M155" s="82"/>
      <c r="N155" s="77"/>
      <c r="O155" s="84" t="s">
        <v>179</v>
      </c>
      <c r="P155" s="86">
        <v>44023.602002314816</v>
      </c>
      <c r="Q155" s="84" t="s">
        <v>682</v>
      </c>
      <c r="R155" s="84"/>
      <c r="S155" s="84"/>
      <c r="T155" s="84" t="s">
        <v>839</v>
      </c>
      <c r="U155" s="87" t="str">
        <f>HYPERLINK("https://pbs.twimg.com/media/EcpuIqpWkAAaCq3.jpg")</f>
        <v>https://pbs.twimg.com/media/EcpuIqpWkAAaCq3.jpg</v>
      </c>
      <c r="V155" s="87" t="str">
        <f>HYPERLINK("https://pbs.twimg.com/media/EcpuIqpWkAAaCq3.jpg")</f>
        <v>https://pbs.twimg.com/media/EcpuIqpWkAAaCq3.jpg</v>
      </c>
      <c r="W155" s="86">
        <v>44023.602002314816</v>
      </c>
      <c r="X155" s="90">
        <v>44023</v>
      </c>
      <c r="Y155" s="92" t="s">
        <v>1103</v>
      </c>
      <c r="Z155" s="87" t="str">
        <f>HYPERLINK("https://twitter.com/alisondcarr/status/1281958144634167301")</f>
        <v>https://twitter.com/alisondcarr/status/1281958144634167301</v>
      </c>
      <c r="AA155" s="84"/>
      <c r="AB155" s="84"/>
      <c r="AC155" s="92" t="s">
        <v>1522</v>
      </c>
      <c r="AD155" s="84"/>
      <c r="AE155" s="84" t="b">
        <v>0</v>
      </c>
      <c r="AF155" s="84">
        <v>2</v>
      </c>
      <c r="AG155" s="92" t="s">
        <v>1724</v>
      </c>
      <c r="AH155" s="84" t="b">
        <v>0</v>
      </c>
      <c r="AI155" s="84" t="s">
        <v>1751</v>
      </c>
      <c r="AJ155" s="84"/>
      <c r="AK155" s="92" t="s">
        <v>1724</v>
      </c>
      <c r="AL155" s="84" t="b">
        <v>0</v>
      </c>
      <c r="AM155" s="84">
        <v>0</v>
      </c>
      <c r="AN155" s="92" t="s">
        <v>1724</v>
      </c>
      <c r="AO155" s="84" t="s">
        <v>1763</v>
      </c>
      <c r="AP155" s="84" t="b">
        <v>0</v>
      </c>
      <c r="AQ155" s="92" t="s">
        <v>1522</v>
      </c>
      <c r="AR155" s="84" t="s">
        <v>179</v>
      </c>
      <c r="AS155" s="84">
        <v>0</v>
      </c>
      <c r="AT155" s="84">
        <v>0</v>
      </c>
      <c r="AU155" s="84"/>
      <c r="AV155" s="84"/>
      <c r="AW155" s="84"/>
      <c r="AX155" s="84"/>
      <c r="AY155" s="84"/>
      <c r="AZ155" s="84"/>
      <c r="BA155" s="84"/>
      <c r="BB155" s="84"/>
    </row>
    <row r="156" spans="1:54" x14ac:dyDescent="0.2">
      <c r="A156" s="69" t="s">
        <v>376</v>
      </c>
      <c r="B156" s="69" t="s">
        <v>456</v>
      </c>
      <c r="C156" s="70"/>
      <c r="D156" s="71"/>
      <c r="E156" s="72"/>
      <c r="F156" s="73"/>
      <c r="G156" s="70"/>
      <c r="H156" s="74"/>
      <c r="I156" s="75"/>
      <c r="J156" s="75"/>
      <c r="K156" s="36"/>
      <c r="L156" s="82"/>
      <c r="M156" s="82"/>
      <c r="N156" s="77"/>
      <c r="O156" s="84" t="s">
        <v>500</v>
      </c>
      <c r="P156" s="86">
        <v>44023.600694444445</v>
      </c>
      <c r="Q156" s="84" t="s">
        <v>657</v>
      </c>
      <c r="R156" s="84"/>
      <c r="S156" s="84"/>
      <c r="T156" s="84" t="s">
        <v>834</v>
      </c>
      <c r="U156" s="84"/>
      <c r="V156" s="87" t="str">
        <f>HYPERLINK("http://pbs.twimg.com/profile_images/709540889211887617/0QwjgQYA_normal.jpg")</f>
        <v>http://pbs.twimg.com/profile_images/709540889211887617/0QwjgQYA_normal.jpg</v>
      </c>
      <c r="W156" s="86">
        <v>44023.600694444445</v>
      </c>
      <c r="X156" s="90">
        <v>44023</v>
      </c>
      <c r="Y156" s="92" t="s">
        <v>1102</v>
      </c>
      <c r="Z156" s="87" t="str">
        <f>HYPERLINK("https://twitter.com/misrenee7783/status/1281957667192344576")</f>
        <v>https://twitter.com/misrenee7783/status/1281957667192344576</v>
      </c>
      <c r="AA156" s="84"/>
      <c r="AB156" s="84"/>
      <c r="AC156" s="92" t="s">
        <v>1521</v>
      </c>
      <c r="AD156" s="84"/>
      <c r="AE156" s="84" t="b">
        <v>0</v>
      </c>
      <c r="AF156" s="84">
        <v>0</v>
      </c>
      <c r="AG156" s="92" t="s">
        <v>1724</v>
      </c>
      <c r="AH156" s="84" t="b">
        <v>0</v>
      </c>
      <c r="AI156" s="84" t="s">
        <v>1751</v>
      </c>
      <c r="AJ156" s="84"/>
      <c r="AK156" s="92" t="s">
        <v>1724</v>
      </c>
      <c r="AL156" s="84" t="b">
        <v>0</v>
      </c>
      <c r="AM156" s="84">
        <v>51</v>
      </c>
      <c r="AN156" s="92" t="s">
        <v>1680</v>
      </c>
      <c r="AO156" s="84" t="s">
        <v>1766</v>
      </c>
      <c r="AP156" s="84" t="b">
        <v>0</v>
      </c>
      <c r="AQ156" s="92" t="s">
        <v>1680</v>
      </c>
      <c r="AR156" s="84" t="s">
        <v>179</v>
      </c>
      <c r="AS156" s="84">
        <v>0</v>
      </c>
      <c r="AT156" s="84">
        <v>0</v>
      </c>
      <c r="AU156" s="84"/>
      <c r="AV156" s="84"/>
      <c r="AW156" s="84"/>
      <c r="AX156" s="84"/>
      <c r="AY156" s="84"/>
      <c r="AZ156" s="84"/>
      <c r="BA156" s="84"/>
      <c r="BB156" s="84"/>
    </row>
    <row r="157" spans="1:54" x14ac:dyDescent="0.2">
      <c r="A157" s="69" t="s">
        <v>375</v>
      </c>
      <c r="B157" s="69" t="s">
        <v>374</v>
      </c>
      <c r="C157" s="70"/>
      <c r="D157" s="71"/>
      <c r="E157" s="72"/>
      <c r="F157" s="73"/>
      <c r="G157" s="70"/>
      <c r="H157" s="74"/>
      <c r="I157" s="75"/>
      <c r="J157" s="75"/>
      <c r="K157" s="36"/>
      <c r="L157" s="82"/>
      <c r="M157" s="82"/>
      <c r="N157" s="77"/>
      <c r="O157" s="84" t="s">
        <v>500</v>
      </c>
      <c r="P157" s="86">
        <v>44023.593391203707</v>
      </c>
      <c r="Q157" s="84" t="s">
        <v>681</v>
      </c>
      <c r="R157" s="84"/>
      <c r="S157" s="84"/>
      <c r="T157" s="84"/>
      <c r="U157" s="84"/>
      <c r="V157" s="87" t="str">
        <f>HYPERLINK("http://pbs.twimg.com/profile_images/1257567687250554880/eLyXbEOf_normal.png")</f>
        <v>http://pbs.twimg.com/profile_images/1257567687250554880/eLyXbEOf_normal.png</v>
      </c>
      <c r="W157" s="86">
        <v>44023.593391203707</v>
      </c>
      <c r="X157" s="90">
        <v>44023</v>
      </c>
      <c r="Y157" s="92" t="s">
        <v>1101</v>
      </c>
      <c r="Z157" s="87" t="str">
        <f>HYPERLINK("https://twitter.com/mimoza_moza2/status/1281955023652442113")</f>
        <v>https://twitter.com/mimoza_moza2/status/1281955023652442113</v>
      </c>
      <c r="AA157" s="84"/>
      <c r="AB157" s="84"/>
      <c r="AC157" s="92" t="s">
        <v>1520</v>
      </c>
      <c r="AD157" s="84"/>
      <c r="AE157" s="84" t="b">
        <v>0</v>
      </c>
      <c r="AF157" s="84">
        <v>0</v>
      </c>
      <c r="AG157" s="92" t="s">
        <v>1724</v>
      </c>
      <c r="AH157" s="84" t="b">
        <v>0</v>
      </c>
      <c r="AI157" s="84" t="s">
        <v>1750</v>
      </c>
      <c r="AJ157" s="84"/>
      <c r="AK157" s="92" t="s">
        <v>1724</v>
      </c>
      <c r="AL157" s="84" t="b">
        <v>0</v>
      </c>
      <c r="AM157" s="84">
        <v>2</v>
      </c>
      <c r="AN157" s="92" t="s">
        <v>1519</v>
      </c>
      <c r="AO157" s="84" t="s">
        <v>1763</v>
      </c>
      <c r="AP157" s="84" t="b">
        <v>0</v>
      </c>
      <c r="AQ157" s="92" t="s">
        <v>1519</v>
      </c>
      <c r="AR157" s="84" t="s">
        <v>179</v>
      </c>
      <c r="AS157" s="84">
        <v>0</v>
      </c>
      <c r="AT157" s="84">
        <v>0</v>
      </c>
      <c r="AU157" s="84"/>
      <c r="AV157" s="84"/>
      <c r="AW157" s="84"/>
      <c r="AX157" s="84"/>
      <c r="AY157" s="84"/>
      <c r="AZ157" s="84"/>
      <c r="BA157" s="84"/>
      <c r="BB157" s="84"/>
    </row>
    <row r="158" spans="1:54" x14ac:dyDescent="0.2">
      <c r="A158" s="69" t="s">
        <v>374</v>
      </c>
      <c r="B158" s="69" t="s">
        <v>374</v>
      </c>
      <c r="C158" s="70"/>
      <c r="D158" s="71"/>
      <c r="E158" s="72"/>
      <c r="F158" s="73"/>
      <c r="G158" s="70"/>
      <c r="H158" s="74"/>
      <c r="I158" s="75"/>
      <c r="J158" s="75"/>
      <c r="K158" s="36"/>
      <c r="L158" s="82"/>
      <c r="M158" s="82"/>
      <c r="N158" s="77"/>
      <c r="O158" s="84" t="s">
        <v>179</v>
      </c>
      <c r="P158" s="86">
        <v>44023.588576388887</v>
      </c>
      <c r="Q158" s="84" t="s">
        <v>681</v>
      </c>
      <c r="R158" s="84"/>
      <c r="S158" s="84"/>
      <c r="T158" s="84" t="s">
        <v>838</v>
      </c>
      <c r="U158" s="87" t="str">
        <f>HYPERLINK("https://pbs.twimg.com/media/EcpptTBUYAARvdn.jpg")</f>
        <v>https://pbs.twimg.com/media/EcpptTBUYAARvdn.jpg</v>
      </c>
      <c r="V158" s="87" t="str">
        <f>HYPERLINK("https://pbs.twimg.com/media/EcpptTBUYAARvdn.jpg")</f>
        <v>https://pbs.twimg.com/media/EcpptTBUYAARvdn.jpg</v>
      </c>
      <c r="W158" s="86">
        <v>44023.588576388887</v>
      </c>
      <c r="X158" s="90">
        <v>44023</v>
      </c>
      <c r="Y158" s="92" t="s">
        <v>1100</v>
      </c>
      <c r="Z158" s="87" t="str">
        <f>HYPERLINK("https://twitter.com/tsukinapo_puyo/status/1281953277160984577")</f>
        <v>https://twitter.com/tsukinapo_puyo/status/1281953277160984577</v>
      </c>
      <c r="AA158" s="84"/>
      <c r="AB158" s="84"/>
      <c r="AC158" s="92" t="s">
        <v>1519</v>
      </c>
      <c r="AD158" s="84"/>
      <c r="AE158" s="84" t="b">
        <v>0</v>
      </c>
      <c r="AF158" s="84">
        <v>0</v>
      </c>
      <c r="AG158" s="92" t="s">
        <v>1724</v>
      </c>
      <c r="AH158" s="84" t="b">
        <v>0</v>
      </c>
      <c r="AI158" s="84" t="s">
        <v>1750</v>
      </c>
      <c r="AJ158" s="84"/>
      <c r="AK158" s="92" t="s">
        <v>1724</v>
      </c>
      <c r="AL158" s="84" t="b">
        <v>0</v>
      </c>
      <c r="AM158" s="84">
        <v>2</v>
      </c>
      <c r="AN158" s="92" t="s">
        <v>1724</v>
      </c>
      <c r="AO158" s="84" t="s">
        <v>1763</v>
      </c>
      <c r="AP158" s="84" t="b">
        <v>0</v>
      </c>
      <c r="AQ158" s="92" t="s">
        <v>1519</v>
      </c>
      <c r="AR158" s="84" t="s">
        <v>179</v>
      </c>
      <c r="AS158" s="84">
        <v>0</v>
      </c>
      <c r="AT158" s="84">
        <v>0</v>
      </c>
      <c r="AU158" s="84"/>
      <c r="AV158" s="84"/>
      <c r="AW158" s="84"/>
      <c r="AX158" s="84"/>
      <c r="AY158" s="84"/>
      <c r="AZ158" s="84"/>
      <c r="BA158" s="84"/>
      <c r="BB158" s="84"/>
    </row>
    <row r="159" spans="1:54" x14ac:dyDescent="0.2">
      <c r="A159" s="69" t="s">
        <v>373</v>
      </c>
      <c r="B159" s="69" t="s">
        <v>456</v>
      </c>
      <c r="C159" s="70"/>
      <c r="D159" s="71"/>
      <c r="E159" s="72"/>
      <c r="F159" s="73"/>
      <c r="G159" s="70"/>
      <c r="H159" s="74"/>
      <c r="I159" s="75"/>
      <c r="J159" s="75"/>
      <c r="K159" s="36"/>
      <c r="L159" s="82"/>
      <c r="M159" s="82"/>
      <c r="N159" s="77"/>
      <c r="O159" s="84" t="s">
        <v>500</v>
      </c>
      <c r="P159" s="86">
        <v>44023.583796296298</v>
      </c>
      <c r="Q159" s="84" t="s">
        <v>657</v>
      </c>
      <c r="R159" s="84"/>
      <c r="S159" s="84"/>
      <c r="T159" s="84" t="s">
        <v>834</v>
      </c>
      <c r="U159" s="84"/>
      <c r="V159" s="87" t="str">
        <f>HYPERLINK("http://pbs.twimg.com/profile_images/1251164224123854848/E4bVE-Kk_normal.jpg")</f>
        <v>http://pbs.twimg.com/profile_images/1251164224123854848/E4bVE-Kk_normal.jpg</v>
      </c>
      <c r="W159" s="86">
        <v>44023.583796296298</v>
      </c>
      <c r="X159" s="90">
        <v>44023</v>
      </c>
      <c r="Y159" s="92" t="s">
        <v>1099</v>
      </c>
      <c r="Z159" s="87" t="str">
        <f>HYPERLINK("https://twitter.com/frankhoncho/status/1281951547123879936")</f>
        <v>https://twitter.com/frankhoncho/status/1281951547123879936</v>
      </c>
      <c r="AA159" s="84"/>
      <c r="AB159" s="84"/>
      <c r="AC159" s="92" t="s">
        <v>1518</v>
      </c>
      <c r="AD159" s="84"/>
      <c r="AE159" s="84" t="b">
        <v>0</v>
      </c>
      <c r="AF159" s="84">
        <v>0</v>
      </c>
      <c r="AG159" s="92" t="s">
        <v>1724</v>
      </c>
      <c r="AH159" s="84" t="b">
        <v>0</v>
      </c>
      <c r="AI159" s="84" t="s">
        <v>1751</v>
      </c>
      <c r="AJ159" s="84"/>
      <c r="AK159" s="92" t="s">
        <v>1724</v>
      </c>
      <c r="AL159" s="84" t="b">
        <v>0</v>
      </c>
      <c r="AM159" s="84">
        <v>51</v>
      </c>
      <c r="AN159" s="92" t="s">
        <v>1680</v>
      </c>
      <c r="AO159" s="84" t="s">
        <v>1763</v>
      </c>
      <c r="AP159" s="84" t="b">
        <v>0</v>
      </c>
      <c r="AQ159" s="92" t="s">
        <v>1680</v>
      </c>
      <c r="AR159" s="84" t="s">
        <v>179</v>
      </c>
      <c r="AS159" s="84">
        <v>0</v>
      </c>
      <c r="AT159" s="84">
        <v>0</v>
      </c>
      <c r="AU159" s="84"/>
      <c r="AV159" s="84"/>
      <c r="AW159" s="84"/>
      <c r="AX159" s="84"/>
      <c r="AY159" s="84"/>
      <c r="AZ159" s="84"/>
      <c r="BA159" s="84"/>
      <c r="BB159" s="84"/>
    </row>
    <row r="160" spans="1:54" x14ac:dyDescent="0.2">
      <c r="A160" s="69" t="s">
        <v>372</v>
      </c>
      <c r="B160" s="69" t="s">
        <v>372</v>
      </c>
      <c r="C160" s="70"/>
      <c r="D160" s="71"/>
      <c r="E160" s="72"/>
      <c r="F160" s="73"/>
      <c r="G160" s="70"/>
      <c r="H160" s="74"/>
      <c r="I160" s="75"/>
      <c r="J160" s="75"/>
      <c r="K160" s="36"/>
      <c r="L160" s="82"/>
      <c r="M160" s="82"/>
      <c r="N160" s="77"/>
      <c r="O160" s="84" t="s">
        <v>179</v>
      </c>
      <c r="P160" s="86">
        <v>44023.582974537036</v>
      </c>
      <c r="Q160" s="84" t="s">
        <v>680</v>
      </c>
      <c r="R160" s="84"/>
      <c r="S160" s="84"/>
      <c r="T160" s="84" t="s">
        <v>781</v>
      </c>
      <c r="U160" s="84"/>
      <c r="V160" s="87" t="str">
        <f>HYPERLINK("http://pbs.twimg.com/profile_images/987977438712872962/kPy9VMGP_normal.jpg")</f>
        <v>http://pbs.twimg.com/profile_images/987977438712872962/kPy9VMGP_normal.jpg</v>
      </c>
      <c r="W160" s="86">
        <v>44023.582974537036</v>
      </c>
      <c r="X160" s="90">
        <v>44023</v>
      </c>
      <c r="Y160" s="92" t="s">
        <v>1098</v>
      </c>
      <c r="Z160" s="87" t="str">
        <f>HYPERLINK("https://twitter.com/pokemon_1234567/status/1281951246690037760")</f>
        <v>https://twitter.com/pokemon_1234567/status/1281951246690037760</v>
      </c>
      <c r="AA160" s="84"/>
      <c r="AB160" s="84"/>
      <c r="AC160" s="92" t="s">
        <v>1517</v>
      </c>
      <c r="AD160" s="84"/>
      <c r="AE160" s="84" t="b">
        <v>0</v>
      </c>
      <c r="AF160" s="84">
        <v>1</v>
      </c>
      <c r="AG160" s="92" t="s">
        <v>1724</v>
      </c>
      <c r="AH160" s="84" t="b">
        <v>0</v>
      </c>
      <c r="AI160" s="84" t="s">
        <v>1750</v>
      </c>
      <c r="AJ160" s="84"/>
      <c r="AK160" s="92" t="s">
        <v>1724</v>
      </c>
      <c r="AL160" s="84" t="b">
        <v>0</v>
      </c>
      <c r="AM160" s="84">
        <v>0</v>
      </c>
      <c r="AN160" s="92" t="s">
        <v>1724</v>
      </c>
      <c r="AO160" s="84" t="s">
        <v>1766</v>
      </c>
      <c r="AP160" s="84" t="b">
        <v>0</v>
      </c>
      <c r="AQ160" s="92" t="s">
        <v>1517</v>
      </c>
      <c r="AR160" s="84" t="s">
        <v>179</v>
      </c>
      <c r="AS160" s="84">
        <v>0</v>
      </c>
      <c r="AT160" s="84">
        <v>0</v>
      </c>
      <c r="AU160" s="84"/>
      <c r="AV160" s="84"/>
      <c r="AW160" s="84"/>
      <c r="AX160" s="84"/>
      <c r="AY160" s="84"/>
      <c r="AZ160" s="84"/>
      <c r="BA160" s="84"/>
      <c r="BB160" s="84"/>
    </row>
    <row r="161" spans="1:54" x14ac:dyDescent="0.2">
      <c r="A161" s="69" t="s">
        <v>371</v>
      </c>
      <c r="B161" s="69" t="s">
        <v>371</v>
      </c>
      <c r="C161" s="70"/>
      <c r="D161" s="71"/>
      <c r="E161" s="72"/>
      <c r="F161" s="73"/>
      <c r="G161" s="70"/>
      <c r="H161" s="74"/>
      <c r="I161" s="75"/>
      <c r="J161" s="75"/>
      <c r="K161" s="36"/>
      <c r="L161" s="82"/>
      <c r="M161" s="82"/>
      <c r="N161" s="77"/>
      <c r="O161" s="84" t="s">
        <v>179</v>
      </c>
      <c r="P161" s="86">
        <v>44023.501574074071</v>
      </c>
      <c r="Q161" s="84" t="s">
        <v>679</v>
      </c>
      <c r="R161" s="87" t="str">
        <f>HYPERLINK("https://www.instagram.com/an0n661")</f>
        <v>https://www.instagram.com/an0n661</v>
      </c>
      <c r="S161" s="84" t="s">
        <v>759</v>
      </c>
      <c r="T161" s="84" t="s">
        <v>781</v>
      </c>
      <c r="U161" s="84"/>
      <c r="V161" s="87" t="str">
        <f>HYPERLINK("http://pbs.twimg.com/profile_images/1280626710229155840/Mzr4CySH_normal.jpg")</f>
        <v>http://pbs.twimg.com/profile_images/1280626710229155840/Mzr4CySH_normal.jpg</v>
      </c>
      <c r="W161" s="86">
        <v>44023.501574074071</v>
      </c>
      <c r="X161" s="90">
        <v>44023</v>
      </c>
      <c r="Y161" s="92" t="s">
        <v>1097</v>
      </c>
      <c r="Z161" s="87" t="str">
        <f>HYPERLINK("https://twitter.com/chuckfinley305/status/1281921746799677441")</f>
        <v>https://twitter.com/chuckfinley305/status/1281921746799677441</v>
      </c>
      <c r="AA161" s="84"/>
      <c r="AB161" s="84"/>
      <c r="AC161" s="92" t="s">
        <v>1516</v>
      </c>
      <c r="AD161" s="84"/>
      <c r="AE161" s="84" t="b">
        <v>0</v>
      </c>
      <c r="AF161" s="84">
        <v>0</v>
      </c>
      <c r="AG161" s="92" t="s">
        <v>1724</v>
      </c>
      <c r="AH161" s="84" t="b">
        <v>0</v>
      </c>
      <c r="AI161" s="84" t="s">
        <v>1751</v>
      </c>
      <c r="AJ161" s="84"/>
      <c r="AK161" s="92" t="s">
        <v>1724</v>
      </c>
      <c r="AL161" s="84" t="b">
        <v>0</v>
      </c>
      <c r="AM161" s="84">
        <v>0</v>
      </c>
      <c r="AN161" s="92" t="s">
        <v>1724</v>
      </c>
      <c r="AO161" s="84" t="s">
        <v>1763</v>
      </c>
      <c r="AP161" s="84" t="b">
        <v>0</v>
      </c>
      <c r="AQ161" s="92" t="s">
        <v>1516</v>
      </c>
      <c r="AR161" s="84" t="s">
        <v>179</v>
      </c>
      <c r="AS161" s="84">
        <v>0</v>
      </c>
      <c r="AT161" s="84">
        <v>0</v>
      </c>
      <c r="AU161" s="84"/>
      <c r="AV161" s="84"/>
      <c r="AW161" s="84"/>
      <c r="AX161" s="84"/>
      <c r="AY161" s="84"/>
      <c r="AZ161" s="84"/>
      <c r="BA161" s="84"/>
      <c r="BB161" s="84"/>
    </row>
    <row r="162" spans="1:54" x14ac:dyDescent="0.2">
      <c r="A162" s="69" t="s">
        <v>370</v>
      </c>
      <c r="B162" s="69" t="s">
        <v>480</v>
      </c>
      <c r="C162" s="70"/>
      <c r="D162" s="71"/>
      <c r="E162" s="72"/>
      <c r="F162" s="73"/>
      <c r="G162" s="70"/>
      <c r="H162" s="74"/>
      <c r="I162" s="75"/>
      <c r="J162" s="75"/>
      <c r="K162" s="36"/>
      <c r="L162" s="82"/>
      <c r="M162" s="82"/>
      <c r="N162" s="77"/>
      <c r="O162" s="84" t="s">
        <v>501</v>
      </c>
      <c r="P162" s="86">
        <v>44023.471238425926</v>
      </c>
      <c r="Q162" s="84" t="s">
        <v>678</v>
      </c>
      <c r="R162" s="84"/>
      <c r="S162" s="84"/>
      <c r="T162" s="84" t="s">
        <v>837</v>
      </c>
      <c r="U162" s="87" t="str">
        <f>HYPERLINK("https://pbs.twimg.com/media/EcpDA8FWAAIbiXJ.jpg")</f>
        <v>https://pbs.twimg.com/media/EcpDA8FWAAIbiXJ.jpg</v>
      </c>
      <c r="V162" s="87" t="str">
        <f>HYPERLINK("https://pbs.twimg.com/media/EcpDA8FWAAIbiXJ.jpg")</f>
        <v>https://pbs.twimg.com/media/EcpDA8FWAAIbiXJ.jpg</v>
      </c>
      <c r="W162" s="86">
        <v>44023.471238425926</v>
      </c>
      <c r="X162" s="90">
        <v>44023</v>
      </c>
      <c r="Y162" s="92" t="s">
        <v>1096</v>
      </c>
      <c r="Z162" s="87" t="str">
        <f>HYPERLINK("https://twitter.com/ted_pops/status/1281910756825587712")</f>
        <v>https://twitter.com/ted_pops/status/1281910756825587712</v>
      </c>
      <c r="AA162" s="84"/>
      <c r="AB162" s="84"/>
      <c r="AC162" s="92" t="s">
        <v>1515</v>
      </c>
      <c r="AD162" s="84"/>
      <c r="AE162" s="84" t="b">
        <v>0</v>
      </c>
      <c r="AF162" s="84">
        <v>0</v>
      </c>
      <c r="AG162" s="92" t="s">
        <v>1724</v>
      </c>
      <c r="AH162" s="84" t="b">
        <v>0</v>
      </c>
      <c r="AI162" s="84" t="s">
        <v>1751</v>
      </c>
      <c r="AJ162" s="84"/>
      <c r="AK162" s="92" t="s">
        <v>1724</v>
      </c>
      <c r="AL162" s="84" t="b">
        <v>0</v>
      </c>
      <c r="AM162" s="84">
        <v>0</v>
      </c>
      <c r="AN162" s="92" t="s">
        <v>1724</v>
      </c>
      <c r="AO162" s="84" t="s">
        <v>1764</v>
      </c>
      <c r="AP162" s="84" t="b">
        <v>0</v>
      </c>
      <c r="AQ162" s="92" t="s">
        <v>1515</v>
      </c>
      <c r="AR162" s="84" t="s">
        <v>179</v>
      </c>
      <c r="AS162" s="84">
        <v>0</v>
      </c>
      <c r="AT162" s="84">
        <v>0</v>
      </c>
      <c r="AU162" s="84"/>
      <c r="AV162" s="84"/>
      <c r="AW162" s="84"/>
      <c r="AX162" s="84"/>
      <c r="AY162" s="84"/>
      <c r="AZ162" s="84"/>
      <c r="BA162" s="84"/>
      <c r="BB162" s="84"/>
    </row>
    <row r="163" spans="1:54" x14ac:dyDescent="0.2">
      <c r="A163" s="69" t="s">
        <v>370</v>
      </c>
      <c r="B163" s="69" t="s">
        <v>481</v>
      </c>
      <c r="C163" s="70"/>
      <c r="D163" s="71"/>
      <c r="E163" s="72"/>
      <c r="F163" s="73"/>
      <c r="G163" s="70"/>
      <c r="H163" s="74"/>
      <c r="I163" s="75"/>
      <c r="J163" s="75"/>
      <c r="K163" s="36"/>
      <c r="L163" s="82"/>
      <c r="M163" s="82"/>
      <c r="N163" s="77"/>
      <c r="O163" s="84" t="s">
        <v>501</v>
      </c>
      <c r="P163" s="86">
        <v>44023.471238425926</v>
      </c>
      <c r="Q163" s="84" t="s">
        <v>678</v>
      </c>
      <c r="R163" s="84"/>
      <c r="S163" s="84"/>
      <c r="T163" s="84" t="s">
        <v>837</v>
      </c>
      <c r="U163" s="87" t="str">
        <f>HYPERLINK("https://pbs.twimg.com/media/EcpDA8FWAAIbiXJ.jpg")</f>
        <v>https://pbs.twimg.com/media/EcpDA8FWAAIbiXJ.jpg</v>
      </c>
      <c r="V163" s="87" t="str">
        <f>HYPERLINK("https://pbs.twimg.com/media/EcpDA8FWAAIbiXJ.jpg")</f>
        <v>https://pbs.twimg.com/media/EcpDA8FWAAIbiXJ.jpg</v>
      </c>
      <c r="W163" s="86">
        <v>44023.471238425926</v>
      </c>
      <c r="X163" s="90">
        <v>44023</v>
      </c>
      <c r="Y163" s="92" t="s">
        <v>1096</v>
      </c>
      <c r="Z163" s="87" t="str">
        <f>HYPERLINK("https://twitter.com/ted_pops/status/1281910756825587712")</f>
        <v>https://twitter.com/ted_pops/status/1281910756825587712</v>
      </c>
      <c r="AA163" s="84"/>
      <c r="AB163" s="84"/>
      <c r="AC163" s="92" t="s">
        <v>1515</v>
      </c>
      <c r="AD163" s="84"/>
      <c r="AE163" s="84" t="b">
        <v>0</v>
      </c>
      <c r="AF163" s="84">
        <v>0</v>
      </c>
      <c r="AG163" s="92" t="s">
        <v>1724</v>
      </c>
      <c r="AH163" s="84" t="b">
        <v>0</v>
      </c>
      <c r="AI163" s="84" t="s">
        <v>1751</v>
      </c>
      <c r="AJ163" s="84"/>
      <c r="AK163" s="92" t="s">
        <v>1724</v>
      </c>
      <c r="AL163" s="84" t="b">
        <v>0</v>
      </c>
      <c r="AM163" s="84">
        <v>0</v>
      </c>
      <c r="AN163" s="92" t="s">
        <v>1724</v>
      </c>
      <c r="AO163" s="84" t="s">
        <v>1764</v>
      </c>
      <c r="AP163" s="84" t="b">
        <v>0</v>
      </c>
      <c r="AQ163" s="92" t="s">
        <v>1515</v>
      </c>
      <c r="AR163" s="84" t="s">
        <v>179</v>
      </c>
      <c r="AS163" s="84">
        <v>0</v>
      </c>
      <c r="AT163" s="84">
        <v>0</v>
      </c>
      <c r="AU163" s="84"/>
      <c r="AV163" s="84"/>
      <c r="AW163" s="84"/>
      <c r="AX163" s="84"/>
      <c r="AY163" s="84"/>
      <c r="AZ163" s="84"/>
      <c r="BA163" s="84"/>
      <c r="BB163" s="84"/>
    </row>
    <row r="164" spans="1:54" x14ac:dyDescent="0.2">
      <c r="A164" s="69" t="s">
        <v>369</v>
      </c>
      <c r="B164" s="69" t="s">
        <v>456</v>
      </c>
      <c r="C164" s="70"/>
      <c r="D164" s="71"/>
      <c r="E164" s="72"/>
      <c r="F164" s="73"/>
      <c r="G164" s="70"/>
      <c r="H164" s="74"/>
      <c r="I164" s="75"/>
      <c r="J164" s="75"/>
      <c r="K164" s="36"/>
      <c r="L164" s="82"/>
      <c r="M164" s="82"/>
      <c r="N164" s="77"/>
      <c r="O164" s="84" t="s">
        <v>503</v>
      </c>
      <c r="P164" s="86">
        <v>44023.463969907411</v>
      </c>
      <c r="Q164" s="84" t="s">
        <v>677</v>
      </c>
      <c r="R164" s="84"/>
      <c r="S164" s="84"/>
      <c r="T164" s="84" t="s">
        <v>781</v>
      </c>
      <c r="U164" s="84"/>
      <c r="V164" s="87" t="str">
        <f>HYPERLINK("http://pbs.twimg.com/profile_images/1206576406509080577/jGLifW47_normal.jpg")</f>
        <v>http://pbs.twimg.com/profile_images/1206576406509080577/jGLifW47_normal.jpg</v>
      </c>
      <c r="W164" s="86">
        <v>44023.463969907411</v>
      </c>
      <c r="X164" s="90">
        <v>44023</v>
      </c>
      <c r="Y164" s="92" t="s">
        <v>1095</v>
      </c>
      <c r="Z164" s="87" t="str">
        <f>HYPERLINK("https://twitter.com/damujen/status/1281908119673745410")</f>
        <v>https://twitter.com/damujen/status/1281908119673745410</v>
      </c>
      <c r="AA164" s="84"/>
      <c r="AB164" s="84"/>
      <c r="AC164" s="92" t="s">
        <v>1514</v>
      </c>
      <c r="AD164" s="92" t="s">
        <v>1680</v>
      </c>
      <c r="AE164" s="84" t="b">
        <v>0</v>
      </c>
      <c r="AF164" s="84">
        <v>0</v>
      </c>
      <c r="AG164" s="92" t="s">
        <v>1738</v>
      </c>
      <c r="AH164" s="84" t="b">
        <v>0</v>
      </c>
      <c r="AI164" s="84" t="s">
        <v>1751</v>
      </c>
      <c r="AJ164" s="84"/>
      <c r="AK164" s="92" t="s">
        <v>1724</v>
      </c>
      <c r="AL164" s="84" t="b">
        <v>0</v>
      </c>
      <c r="AM164" s="84">
        <v>0</v>
      </c>
      <c r="AN164" s="92" t="s">
        <v>1724</v>
      </c>
      <c r="AO164" s="84" t="s">
        <v>1766</v>
      </c>
      <c r="AP164" s="84" t="b">
        <v>0</v>
      </c>
      <c r="AQ164" s="92" t="s">
        <v>1680</v>
      </c>
      <c r="AR164" s="84" t="s">
        <v>179</v>
      </c>
      <c r="AS164" s="84">
        <v>0</v>
      </c>
      <c r="AT164" s="84">
        <v>0</v>
      </c>
      <c r="AU164" s="84"/>
      <c r="AV164" s="84"/>
      <c r="AW164" s="84"/>
      <c r="AX164" s="84"/>
      <c r="AY164" s="84"/>
      <c r="AZ164" s="84"/>
      <c r="BA164" s="84"/>
      <c r="BB164" s="84"/>
    </row>
    <row r="165" spans="1:54" x14ac:dyDescent="0.2">
      <c r="A165" s="69" t="s">
        <v>368</v>
      </c>
      <c r="B165" s="69" t="s">
        <v>456</v>
      </c>
      <c r="C165" s="70"/>
      <c r="D165" s="71"/>
      <c r="E165" s="72"/>
      <c r="F165" s="73"/>
      <c r="G165" s="70"/>
      <c r="H165" s="74"/>
      <c r="I165" s="75"/>
      <c r="J165" s="75"/>
      <c r="K165" s="36"/>
      <c r="L165" s="82"/>
      <c r="M165" s="82"/>
      <c r="N165" s="77"/>
      <c r="O165" s="84" t="s">
        <v>500</v>
      </c>
      <c r="P165" s="86">
        <v>44023.447812500002</v>
      </c>
      <c r="Q165" s="84" t="s">
        <v>657</v>
      </c>
      <c r="R165" s="84"/>
      <c r="S165" s="84"/>
      <c r="T165" s="84" t="s">
        <v>834</v>
      </c>
      <c r="U165" s="84"/>
      <c r="V165" s="87" t="str">
        <f>HYPERLINK("http://pbs.twimg.com/profile_images/1282130765963243521/X39uU8jK_normal.jpg")</f>
        <v>http://pbs.twimg.com/profile_images/1282130765963243521/X39uU8jK_normal.jpg</v>
      </c>
      <c r="W165" s="86">
        <v>44023.447812500002</v>
      </c>
      <c r="X165" s="90">
        <v>44023</v>
      </c>
      <c r="Y165" s="92" t="s">
        <v>1094</v>
      </c>
      <c r="Z165" s="87" t="str">
        <f>HYPERLINK("https://twitter.com/leah27christine/status/1281902264198799360")</f>
        <v>https://twitter.com/leah27christine/status/1281902264198799360</v>
      </c>
      <c r="AA165" s="84"/>
      <c r="AB165" s="84"/>
      <c r="AC165" s="92" t="s">
        <v>1513</v>
      </c>
      <c r="AD165" s="84"/>
      <c r="AE165" s="84" t="b">
        <v>0</v>
      </c>
      <c r="AF165" s="84">
        <v>0</v>
      </c>
      <c r="AG165" s="92" t="s">
        <v>1724</v>
      </c>
      <c r="AH165" s="84" t="b">
        <v>0</v>
      </c>
      <c r="AI165" s="84" t="s">
        <v>1751</v>
      </c>
      <c r="AJ165" s="84"/>
      <c r="AK165" s="92" t="s">
        <v>1724</v>
      </c>
      <c r="AL165" s="84" t="b">
        <v>0</v>
      </c>
      <c r="AM165" s="84">
        <v>51</v>
      </c>
      <c r="AN165" s="92" t="s">
        <v>1680</v>
      </c>
      <c r="AO165" s="84" t="s">
        <v>1763</v>
      </c>
      <c r="AP165" s="84" t="b">
        <v>0</v>
      </c>
      <c r="AQ165" s="92" t="s">
        <v>1680</v>
      </c>
      <c r="AR165" s="84" t="s">
        <v>179</v>
      </c>
      <c r="AS165" s="84">
        <v>0</v>
      </c>
      <c r="AT165" s="84">
        <v>0</v>
      </c>
      <c r="AU165" s="84"/>
      <c r="AV165" s="84"/>
      <c r="AW165" s="84"/>
      <c r="AX165" s="84"/>
      <c r="AY165" s="84"/>
      <c r="AZ165" s="84"/>
      <c r="BA165" s="84"/>
      <c r="BB165" s="84"/>
    </row>
    <row r="166" spans="1:54" x14ac:dyDescent="0.2">
      <c r="A166" s="69" t="s">
        <v>367</v>
      </c>
      <c r="B166" s="69" t="s">
        <v>366</v>
      </c>
      <c r="C166" s="70"/>
      <c r="D166" s="71"/>
      <c r="E166" s="72"/>
      <c r="F166" s="73"/>
      <c r="G166" s="70"/>
      <c r="H166" s="74"/>
      <c r="I166" s="75"/>
      <c r="J166" s="75"/>
      <c r="K166" s="36"/>
      <c r="L166" s="82"/>
      <c r="M166" s="82"/>
      <c r="N166" s="77"/>
      <c r="O166" s="84" t="s">
        <v>500</v>
      </c>
      <c r="P166" s="86">
        <v>44023.441782407404</v>
      </c>
      <c r="Q166" s="84" t="s">
        <v>676</v>
      </c>
      <c r="R166" s="84"/>
      <c r="S166" s="84"/>
      <c r="T166" s="84" t="s">
        <v>836</v>
      </c>
      <c r="U166" s="84"/>
      <c r="V166" s="87" t="str">
        <f>HYPERLINK("http://pbs.twimg.com/profile_images/1260567393635631111/rNexSQFq_normal.jpg")</f>
        <v>http://pbs.twimg.com/profile_images/1260567393635631111/rNexSQFq_normal.jpg</v>
      </c>
      <c r="W166" s="86">
        <v>44023.441782407404</v>
      </c>
      <c r="X166" s="90">
        <v>44023</v>
      </c>
      <c r="Y166" s="92" t="s">
        <v>1093</v>
      </c>
      <c r="Z166" s="87" t="str">
        <f>HYPERLINK("https://twitter.com/starseedof/status/1281900080623161344")</f>
        <v>https://twitter.com/starseedof/status/1281900080623161344</v>
      </c>
      <c r="AA166" s="84"/>
      <c r="AB166" s="84"/>
      <c r="AC166" s="92" t="s">
        <v>1512</v>
      </c>
      <c r="AD166" s="84"/>
      <c r="AE166" s="84" t="b">
        <v>0</v>
      </c>
      <c r="AF166" s="84">
        <v>0</v>
      </c>
      <c r="AG166" s="92" t="s">
        <v>1724</v>
      </c>
      <c r="AH166" s="84" t="b">
        <v>0</v>
      </c>
      <c r="AI166" s="84" t="s">
        <v>1751</v>
      </c>
      <c r="AJ166" s="84"/>
      <c r="AK166" s="92" t="s">
        <v>1724</v>
      </c>
      <c r="AL166" s="84" t="b">
        <v>0</v>
      </c>
      <c r="AM166" s="84">
        <v>1</v>
      </c>
      <c r="AN166" s="92" t="s">
        <v>1511</v>
      </c>
      <c r="AO166" s="84" t="s">
        <v>1763</v>
      </c>
      <c r="AP166" s="84" t="b">
        <v>0</v>
      </c>
      <c r="AQ166" s="92" t="s">
        <v>1511</v>
      </c>
      <c r="AR166" s="84" t="s">
        <v>179</v>
      </c>
      <c r="AS166" s="84">
        <v>0</v>
      </c>
      <c r="AT166" s="84">
        <v>0</v>
      </c>
      <c r="AU166" s="84"/>
      <c r="AV166" s="84"/>
      <c r="AW166" s="84"/>
      <c r="AX166" s="84"/>
      <c r="AY166" s="84"/>
      <c r="AZ166" s="84"/>
      <c r="BA166" s="84"/>
      <c r="BB166" s="84"/>
    </row>
    <row r="167" spans="1:54" x14ac:dyDescent="0.2">
      <c r="A167" s="69" t="s">
        <v>366</v>
      </c>
      <c r="B167" s="69" t="s">
        <v>366</v>
      </c>
      <c r="C167" s="70"/>
      <c r="D167" s="71"/>
      <c r="E167" s="72"/>
      <c r="F167" s="73"/>
      <c r="G167" s="70"/>
      <c r="H167" s="74"/>
      <c r="I167" s="75"/>
      <c r="J167" s="75"/>
      <c r="K167" s="36"/>
      <c r="L167" s="82"/>
      <c r="M167" s="82"/>
      <c r="N167" s="77"/>
      <c r="O167" s="84" t="s">
        <v>179</v>
      </c>
      <c r="P167" s="86">
        <v>44023.437280092592</v>
      </c>
      <c r="Q167" s="84" t="s">
        <v>676</v>
      </c>
      <c r="R167" s="84"/>
      <c r="S167" s="84"/>
      <c r="T167" s="84" t="s">
        <v>836</v>
      </c>
      <c r="U167" s="84"/>
      <c r="V167" s="87" t="str">
        <f>HYPERLINK("http://pbs.twimg.com/profile_images/1013128183166767104/QCddrboK_normal.jpg")</f>
        <v>http://pbs.twimg.com/profile_images/1013128183166767104/QCddrboK_normal.jpg</v>
      </c>
      <c r="W167" s="86">
        <v>44023.437280092592</v>
      </c>
      <c r="X167" s="90">
        <v>44023</v>
      </c>
      <c r="Y167" s="92" t="s">
        <v>1092</v>
      </c>
      <c r="Z167" s="87" t="str">
        <f>HYPERLINK("https://twitter.com/elv1sfan/status/1281898447650660358")</f>
        <v>https://twitter.com/elv1sfan/status/1281898447650660358</v>
      </c>
      <c r="AA167" s="84"/>
      <c r="AB167" s="84"/>
      <c r="AC167" s="92" t="s">
        <v>1511</v>
      </c>
      <c r="AD167" s="84"/>
      <c r="AE167" s="84" t="b">
        <v>0</v>
      </c>
      <c r="AF167" s="84">
        <v>2</v>
      </c>
      <c r="AG167" s="92" t="s">
        <v>1724</v>
      </c>
      <c r="AH167" s="84" t="b">
        <v>0</v>
      </c>
      <c r="AI167" s="84" t="s">
        <v>1751</v>
      </c>
      <c r="AJ167" s="84"/>
      <c r="AK167" s="92" t="s">
        <v>1724</v>
      </c>
      <c r="AL167" s="84" t="b">
        <v>0</v>
      </c>
      <c r="AM167" s="84">
        <v>1</v>
      </c>
      <c r="AN167" s="92" t="s">
        <v>1724</v>
      </c>
      <c r="AO167" s="84" t="s">
        <v>1766</v>
      </c>
      <c r="AP167" s="84" t="b">
        <v>0</v>
      </c>
      <c r="AQ167" s="92" t="s">
        <v>1511</v>
      </c>
      <c r="AR167" s="84" t="s">
        <v>179</v>
      </c>
      <c r="AS167" s="84">
        <v>0</v>
      </c>
      <c r="AT167" s="84">
        <v>0</v>
      </c>
      <c r="AU167" s="84"/>
      <c r="AV167" s="84"/>
      <c r="AW167" s="84"/>
      <c r="AX167" s="84"/>
      <c r="AY167" s="84"/>
      <c r="AZ167" s="84"/>
      <c r="BA167" s="84"/>
      <c r="BB167" s="84"/>
    </row>
    <row r="168" spans="1:54" x14ac:dyDescent="0.2">
      <c r="A168" s="69" t="s">
        <v>365</v>
      </c>
      <c r="B168" s="69" t="s">
        <v>365</v>
      </c>
      <c r="C168" s="70"/>
      <c r="D168" s="71"/>
      <c r="E168" s="72"/>
      <c r="F168" s="73"/>
      <c r="G168" s="70"/>
      <c r="H168" s="74"/>
      <c r="I168" s="75"/>
      <c r="J168" s="75"/>
      <c r="K168" s="36"/>
      <c r="L168" s="82"/>
      <c r="M168" s="82"/>
      <c r="N168" s="77"/>
      <c r="O168" s="84" t="s">
        <v>179</v>
      </c>
      <c r="P168" s="86">
        <v>44023.413194444445</v>
      </c>
      <c r="Q168" s="84" t="s">
        <v>675</v>
      </c>
      <c r="R168" s="84"/>
      <c r="S168" s="84"/>
      <c r="T168" s="84" t="s">
        <v>781</v>
      </c>
      <c r="U168" s="87" t="str">
        <f>HYPERLINK("https://pbs.twimg.com/media/Ecov3ysVAAA0nPK.jpg")</f>
        <v>https://pbs.twimg.com/media/Ecov3ysVAAA0nPK.jpg</v>
      </c>
      <c r="V168" s="87" t="str">
        <f>HYPERLINK("https://pbs.twimg.com/media/Ecov3ysVAAA0nPK.jpg")</f>
        <v>https://pbs.twimg.com/media/Ecov3ysVAAA0nPK.jpg</v>
      </c>
      <c r="W168" s="86">
        <v>44023.413194444445</v>
      </c>
      <c r="X168" s="90">
        <v>44023</v>
      </c>
      <c r="Y168" s="92" t="s">
        <v>1091</v>
      </c>
      <c r="Z168" s="87" t="str">
        <f>HYPERLINK("https://twitter.com/tera7998/status/1281889723019976704")</f>
        <v>https://twitter.com/tera7998/status/1281889723019976704</v>
      </c>
      <c r="AA168" s="84"/>
      <c r="AB168" s="84"/>
      <c r="AC168" s="92" t="s">
        <v>1510</v>
      </c>
      <c r="AD168" s="84"/>
      <c r="AE168" s="84" t="b">
        <v>0</v>
      </c>
      <c r="AF168" s="84">
        <v>17</v>
      </c>
      <c r="AG168" s="92" t="s">
        <v>1724</v>
      </c>
      <c r="AH168" s="84" t="b">
        <v>0</v>
      </c>
      <c r="AI168" s="84" t="s">
        <v>1750</v>
      </c>
      <c r="AJ168" s="84"/>
      <c r="AK168" s="92" t="s">
        <v>1724</v>
      </c>
      <c r="AL168" s="84" t="b">
        <v>0</v>
      </c>
      <c r="AM168" s="84">
        <v>0</v>
      </c>
      <c r="AN168" s="92" t="s">
        <v>1724</v>
      </c>
      <c r="AO168" s="84" t="s">
        <v>1764</v>
      </c>
      <c r="AP168" s="84" t="b">
        <v>0</v>
      </c>
      <c r="AQ168" s="92" t="s">
        <v>1510</v>
      </c>
      <c r="AR168" s="84" t="s">
        <v>179</v>
      </c>
      <c r="AS168" s="84">
        <v>0</v>
      </c>
      <c r="AT168" s="84">
        <v>0</v>
      </c>
      <c r="AU168" s="84"/>
      <c r="AV168" s="84"/>
      <c r="AW168" s="84"/>
      <c r="AX168" s="84"/>
      <c r="AY168" s="84"/>
      <c r="AZ168" s="84"/>
      <c r="BA168" s="84"/>
      <c r="BB168" s="84"/>
    </row>
    <row r="169" spans="1:54" x14ac:dyDescent="0.2">
      <c r="A169" s="69" t="s">
        <v>364</v>
      </c>
      <c r="B169" s="69" t="s">
        <v>478</v>
      </c>
      <c r="C169" s="70"/>
      <c r="D169" s="71"/>
      <c r="E169" s="72"/>
      <c r="F169" s="73"/>
      <c r="G169" s="70"/>
      <c r="H169" s="74"/>
      <c r="I169" s="75"/>
      <c r="J169" s="75"/>
      <c r="K169" s="36"/>
      <c r="L169" s="82"/>
      <c r="M169" s="82"/>
      <c r="N169" s="77"/>
      <c r="O169" s="84" t="s">
        <v>502</v>
      </c>
      <c r="P169" s="86">
        <v>44023.364363425928</v>
      </c>
      <c r="Q169" s="84" t="s">
        <v>656</v>
      </c>
      <c r="R169" s="84"/>
      <c r="S169" s="84"/>
      <c r="T169" s="84"/>
      <c r="U169" s="84"/>
      <c r="V169" s="87" t="str">
        <f>HYPERLINK("http://pbs.twimg.com/profile_images/1255483077507285000/ed9py_Pr_normal.jpg")</f>
        <v>http://pbs.twimg.com/profile_images/1255483077507285000/ed9py_Pr_normal.jpg</v>
      </c>
      <c r="W169" s="86">
        <v>44023.364363425928</v>
      </c>
      <c r="X169" s="90">
        <v>44023</v>
      </c>
      <c r="Y169" s="92" t="s">
        <v>1087</v>
      </c>
      <c r="Z169" s="87" t="str">
        <f>HYPERLINK("https://twitter.com/ddd66477118/status/1281872023241646080")</f>
        <v>https://twitter.com/ddd66477118/status/1281872023241646080</v>
      </c>
      <c r="AA169" s="84"/>
      <c r="AB169" s="84"/>
      <c r="AC169" s="92" t="s">
        <v>1506</v>
      </c>
      <c r="AD169" s="84"/>
      <c r="AE169" s="84" t="b">
        <v>0</v>
      </c>
      <c r="AF169" s="84">
        <v>0</v>
      </c>
      <c r="AG169" s="92" t="s">
        <v>1724</v>
      </c>
      <c r="AH169" s="84" t="b">
        <v>0</v>
      </c>
      <c r="AI169" s="84" t="s">
        <v>1750</v>
      </c>
      <c r="AJ169" s="84"/>
      <c r="AK169" s="92" t="s">
        <v>1724</v>
      </c>
      <c r="AL169" s="84" t="b">
        <v>0</v>
      </c>
      <c r="AM169" s="84">
        <v>3</v>
      </c>
      <c r="AN169" s="92" t="s">
        <v>1505</v>
      </c>
      <c r="AO169" s="84" t="s">
        <v>1764</v>
      </c>
      <c r="AP169" s="84" t="b">
        <v>0</v>
      </c>
      <c r="AQ169" s="92" t="s">
        <v>1505</v>
      </c>
      <c r="AR169" s="84" t="s">
        <v>179</v>
      </c>
      <c r="AS169" s="84">
        <v>0</v>
      </c>
      <c r="AT169" s="84">
        <v>0</v>
      </c>
      <c r="AU169" s="84"/>
      <c r="AV169" s="84"/>
      <c r="AW169" s="84"/>
      <c r="AX169" s="84"/>
      <c r="AY169" s="84"/>
      <c r="AZ169" s="84"/>
      <c r="BA169" s="84"/>
      <c r="BB169" s="84"/>
    </row>
    <row r="170" spans="1:54" x14ac:dyDescent="0.2">
      <c r="A170" s="69" t="s">
        <v>364</v>
      </c>
      <c r="B170" s="69" t="s">
        <v>479</v>
      </c>
      <c r="C170" s="70"/>
      <c r="D170" s="71"/>
      <c r="E170" s="72"/>
      <c r="F170" s="73"/>
      <c r="G170" s="70"/>
      <c r="H170" s="74"/>
      <c r="I170" s="75"/>
      <c r="J170" s="75"/>
      <c r="K170" s="36"/>
      <c r="L170" s="82"/>
      <c r="M170" s="82"/>
      <c r="N170" s="77"/>
      <c r="O170" s="84" t="s">
        <v>502</v>
      </c>
      <c r="P170" s="86">
        <v>44023.364363425928</v>
      </c>
      <c r="Q170" s="84" t="s">
        <v>656</v>
      </c>
      <c r="R170" s="84"/>
      <c r="S170" s="84"/>
      <c r="T170" s="84"/>
      <c r="U170" s="84"/>
      <c r="V170" s="87" t="str">
        <f>HYPERLINK("http://pbs.twimg.com/profile_images/1255483077507285000/ed9py_Pr_normal.jpg")</f>
        <v>http://pbs.twimg.com/profile_images/1255483077507285000/ed9py_Pr_normal.jpg</v>
      </c>
      <c r="W170" s="86">
        <v>44023.364363425928</v>
      </c>
      <c r="X170" s="90">
        <v>44023</v>
      </c>
      <c r="Y170" s="92" t="s">
        <v>1087</v>
      </c>
      <c r="Z170" s="87" t="str">
        <f>HYPERLINK("https://twitter.com/ddd66477118/status/1281872023241646080")</f>
        <v>https://twitter.com/ddd66477118/status/1281872023241646080</v>
      </c>
      <c r="AA170" s="84"/>
      <c r="AB170" s="84"/>
      <c r="AC170" s="92" t="s">
        <v>1506</v>
      </c>
      <c r="AD170" s="84"/>
      <c r="AE170" s="84" t="b">
        <v>0</v>
      </c>
      <c r="AF170" s="84">
        <v>0</v>
      </c>
      <c r="AG170" s="92" t="s">
        <v>1724</v>
      </c>
      <c r="AH170" s="84" t="b">
        <v>0</v>
      </c>
      <c r="AI170" s="84" t="s">
        <v>1750</v>
      </c>
      <c r="AJ170" s="84"/>
      <c r="AK170" s="92" t="s">
        <v>1724</v>
      </c>
      <c r="AL170" s="84" t="b">
        <v>0</v>
      </c>
      <c r="AM170" s="84">
        <v>3</v>
      </c>
      <c r="AN170" s="92" t="s">
        <v>1505</v>
      </c>
      <c r="AO170" s="84" t="s">
        <v>1764</v>
      </c>
      <c r="AP170" s="84" t="b">
        <v>0</v>
      </c>
      <c r="AQ170" s="92" t="s">
        <v>1505</v>
      </c>
      <c r="AR170" s="84" t="s">
        <v>179</v>
      </c>
      <c r="AS170" s="84">
        <v>0</v>
      </c>
      <c r="AT170" s="84">
        <v>0</v>
      </c>
      <c r="AU170" s="84"/>
      <c r="AV170" s="84"/>
      <c r="AW170" s="84"/>
      <c r="AX170" s="84"/>
      <c r="AY170" s="84"/>
      <c r="AZ170" s="84"/>
      <c r="BA170" s="84"/>
      <c r="BB170" s="84"/>
    </row>
    <row r="171" spans="1:54" x14ac:dyDescent="0.2">
      <c r="A171" s="69" t="s">
        <v>364</v>
      </c>
      <c r="B171" s="69" t="s">
        <v>363</v>
      </c>
      <c r="C171" s="70"/>
      <c r="D171" s="71"/>
      <c r="E171" s="72"/>
      <c r="F171" s="73"/>
      <c r="G171" s="70"/>
      <c r="H171" s="74"/>
      <c r="I171" s="75"/>
      <c r="J171" s="75"/>
      <c r="K171" s="36"/>
      <c r="L171" s="82"/>
      <c r="M171" s="82"/>
      <c r="N171" s="77"/>
      <c r="O171" s="84" t="s">
        <v>500</v>
      </c>
      <c r="P171" s="86">
        <v>44023.364363425928</v>
      </c>
      <c r="Q171" s="84" t="s">
        <v>656</v>
      </c>
      <c r="R171" s="84"/>
      <c r="S171" s="84"/>
      <c r="T171" s="84"/>
      <c r="U171" s="84"/>
      <c r="V171" s="87" t="str">
        <f>HYPERLINK("http://pbs.twimg.com/profile_images/1255483077507285000/ed9py_Pr_normal.jpg")</f>
        <v>http://pbs.twimg.com/profile_images/1255483077507285000/ed9py_Pr_normal.jpg</v>
      </c>
      <c r="W171" s="86">
        <v>44023.364363425928</v>
      </c>
      <c r="X171" s="90">
        <v>44023</v>
      </c>
      <c r="Y171" s="92" t="s">
        <v>1087</v>
      </c>
      <c r="Z171" s="87" t="str">
        <f>HYPERLINK("https://twitter.com/ddd66477118/status/1281872023241646080")</f>
        <v>https://twitter.com/ddd66477118/status/1281872023241646080</v>
      </c>
      <c r="AA171" s="84"/>
      <c r="AB171" s="84"/>
      <c r="AC171" s="92" t="s">
        <v>1506</v>
      </c>
      <c r="AD171" s="84"/>
      <c r="AE171" s="84" t="b">
        <v>0</v>
      </c>
      <c r="AF171" s="84">
        <v>0</v>
      </c>
      <c r="AG171" s="92" t="s">
        <v>1724</v>
      </c>
      <c r="AH171" s="84" t="b">
        <v>0</v>
      </c>
      <c r="AI171" s="84" t="s">
        <v>1750</v>
      </c>
      <c r="AJ171" s="84"/>
      <c r="AK171" s="92" t="s">
        <v>1724</v>
      </c>
      <c r="AL171" s="84" t="b">
        <v>0</v>
      </c>
      <c r="AM171" s="84">
        <v>3</v>
      </c>
      <c r="AN171" s="92" t="s">
        <v>1505</v>
      </c>
      <c r="AO171" s="84" t="s">
        <v>1764</v>
      </c>
      <c r="AP171" s="84" t="b">
        <v>0</v>
      </c>
      <c r="AQ171" s="92" t="s">
        <v>1505</v>
      </c>
      <c r="AR171" s="84" t="s">
        <v>179</v>
      </c>
      <c r="AS171" s="84">
        <v>0</v>
      </c>
      <c r="AT171" s="84">
        <v>0</v>
      </c>
      <c r="AU171" s="84"/>
      <c r="AV171" s="84"/>
      <c r="AW171" s="84"/>
      <c r="AX171" s="84"/>
      <c r="AY171" s="84"/>
      <c r="AZ171" s="84"/>
      <c r="BA171" s="84"/>
      <c r="BB171" s="84"/>
    </row>
    <row r="172" spans="1:54" x14ac:dyDescent="0.2">
      <c r="A172" s="69" t="s">
        <v>400</v>
      </c>
      <c r="B172" s="69" t="s">
        <v>400</v>
      </c>
      <c r="C172" s="70"/>
      <c r="D172" s="71"/>
      <c r="E172" s="72"/>
      <c r="F172" s="73"/>
      <c r="G172" s="70"/>
      <c r="H172" s="74"/>
      <c r="I172" s="75"/>
      <c r="J172" s="75"/>
      <c r="K172" s="36"/>
      <c r="L172" s="82"/>
      <c r="M172" s="82"/>
      <c r="N172" s="77"/>
      <c r="O172" s="84" t="s">
        <v>179</v>
      </c>
      <c r="P172" s="86">
        <v>44023.35428240741</v>
      </c>
      <c r="Q172" s="84" t="s">
        <v>688</v>
      </c>
      <c r="R172" s="87" t="str">
        <f>HYPERLINK("https://m.facebook.com/anunknownkraftsman")</f>
        <v>https://m.facebook.com/anunknownkraftsman</v>
      </c>
      <c r="S172" s="84" t="s">
        <v>772</v>
      </c>
      <c r="T172" s="84" t="s">
        <v>842</v>
      </c>
      <c r="U172" s="84"/>
      <c r="V172" s="87" t="str">
        <f>HYPERLINK("http://pbs.twimg.com/profile_images/1142556013167632391/vMubfzN-_normal.jpg")</f>
        <v>http://pbs.twimg.com/profile_images/1142556013167632391/vMubfzN-_normal.jpg</v>
      </c>
      <c r="W172" s="86">
        <v>44023.35428240741</v>
      </c>
      <c r="X172" s="90">
        <v>44023</v>
      </c>
      <c r="Y172" s="92" t="s">
        <v>1134</v>
      </c>
      <c r="Z172" s="87" t="str">
        <f>HYPERLINK("https://twitter.com/hc_mmoor1868/status/1281868369965150209")</f>
        <v>https://twitter.com/hc_mmoor1868/status/1281868369965150209</v>
      </c>
      <c r="AA172" s="84"/>
      <c r="AB172" s="84"/>
      <c r="AC172" s="92" t="s">
        <v>1558</v>
      </c>
      <c r="AD172" s="84"/>
      <c r="AE172" s="84" t="b">
        <v>0</v>
      </c>
      <c r="AF172" s="84">
        <v>0</v>
      </c>
      <c r="AG172" s="92" t="s">
        <v>1724</v>
      </c>
      <c r="AH172" s="84" t="b">
        <v>0</v>
      </c>
      <c r="AI172" s="84" t="s">
        <v>1751</v>
      </c>
      <c r="AJ172" s="84"/>
      <c r="AK172" s="92" t="s">
        <v>1724</v>
      </c>
      <c r="AL172" s="84" t="b">
        <v>0</v>
      </c>
      <c r="AM172" s="84">
        <v>0</v>
      </c>
      <c r="AN172" s="92" t="s">
        <v>1724</v>
      </c>
      <c r="AO172" s="84" t="s">
        <v>1783</v>
      </c>
      <c r="AP172" s="84" t="b">
        <v>0</v>
      </c>
      <c r="AQ172" s="92" t="s">
        <v>1558</v>
      </c>
      <c r="AR172" s="84" t="s">
        <v>179</v>
      </c>
      <c r="AS172" s="84">
        <v>0</v>
      </c>
      <c r="AT172" s="84">
        <v>0</v>
      </c>
      <c r="AU172" s="84"/>
      <c r="AV172" s="84"/>
      <c r="AW172" s="84"/>
      <c r="AX172" s="84"/>
      <c r="AY172" s="84"/>
      <c r="AZ172" s="84"/>
      <c r="BA172" s="84"/>
      <c r="BB172" s="84"/>
    </row>
    <row r="173" spans="1:54" x14ac:dyDescent="0.2">
      <c r="A173" s="69" t="s">
        <v>362</v>
      </c>
      <c r="B173" s="69" t="s">
        <v>478</v>
      </c>
      <c r="C173" s="70"/>
      <c r="D173" s="71"/>
      <c r="E173" s="72"/>
      <c r="F173" s="73"/>
      <c r="G173" s="70"/>
      <c r="H173" s="74"/>
      <c r="I173" s="75"/>
      <c r="J173" s="75"/>
      <c r="K173" s="36"/>
      <c r="L173" s="82"/>
      <c r="M173" s="82"/>
      <c r="N173" s="77"/>
      <c r="O173" s="84" t="s">
        <v>502</v>
      </c>
      <c r="P173" s="86">
        <v>44023.333055555559</v>
      </c>
      <c r="Q173" s="84" t="s">
        <v>656</v>
      </c>
      <c r="R173" s="84"/>
      <c r="S173" s="84"/>
      <c r="T173" s="84"/>
      <c r="U173" s="84"/>
      <c r="V173" s="87" t="str">
        <f>HYPERLINK("http://pbs.twimg.com/profile_images/1279385532527554560/YNNczgpR_normal.jpg")</f>
        <v>http://pbs.twimg.com/profile_images/1279385532527554560/YNNczgpR_normal.jpg</v>
      </c>
      <c r="W173" s="86">
        <v>44023.333055555559</v>
      </c>
      <c r="X173" s="90">
        <v>44023</v>
      </c>
      <c r="Y173" s="92" t="s">
        <v>1085</v>
      </c>
      <c r="Z173" s="87" t="str">
        <f>HYPERLINK("https://twitter.com/twoasiyesquire/status/1281860677766746113")</f>
        <v>https://twitter.com/twoasiyesquire/status/1281860677766746113</v>
      </c>
      <c r="AA173" s="84"/>
      <c r="AB173" s="84"/>
      <c r="AC173" s="92" t="s">
        <v>1504</v>
      </c>
      <c r="AD173" s="84"/>
      <c r="AE173" s="84" t="b">
        <v>0</v>
      </c>
      <c r="AF173" s="84">
        <v>0</v>
      </c>
      <c r="AG173" s="92" t="s">
        <v>1724</v>
      </c>
      <c r="AH173" s="84" t="b">
        <v>0</v>
      </c>
      <c r="AI173" s="84" t="s">
        <v>1750</v>
      </c>
      <c r="AJ173" s="84"/>
      <c r="AK173" s="92" t="s">
        <v>1724</v>
      </c>
      <c r="AL173" s="84" t="b">
        <v>0</v>
      </c>
      <c r="AM173" s="84">
        <v>3</v>
      </c>
      <c r="AN173" s="92" t="s">
        <v>1505</v>
      </c>
      <c r="AO173" s="84" t="s">
        <v>1763</v>
      </c>
      <c r="AP173" s="84" t="b">
        <v>0</v>
      </c>
      <c r="AQ173" s="92" t="s">
        <v>1505</v>
      </c>
      <c r="AR173" s="84" t="s">
        <v>179</v>
      </c>
      <c r="AS173" s="84">
        <v>0</v>
      </c>
      <c r="AT173" s="84">
        <v>0</v>
      </c>
      <c r="AU173" s="84"/>
      <c r="AV173" s="84"/>
      <c r="AW173" s="84"/>
      <c r="AX173" s="84"/>
      <c r="AY173" s="84"/>
      <c r="AZ173" s="84"/>
      <c r="BA173" s="84"/>
      <c r="BB173" s="84"/>
    </row>
    <row r="174" spans="1:54" x14ac:dyDescent="0.2">
      <c r="A174" s="69" t="s">
        <v>362</v>
      </c>
      <c r="B174" s="69" t="s">
        <v>479</v>
      </c>
      <c r="C174" s="70"/>
      <c r="D174" s="71"/>
      <c r="E174" s="72"/>
      <c r="F174" s="73"/>
      <c r="G174" s="70"/>
      <c r="H174" s="74"/>
      <c r="I174" s="75"/>
      <c r="J174" s="75"/>
      <c r="K174" s="36"/>
      <c r="L174" s="82"/>
      <c r="M174" s="82"/>
      <c r="N174" s="77"/>
      <c r="O174" s="84" t="s">
        <v>502</v>
      </c>
      <c r="P174" s="86">
        <v>44023.333055555559</v>
      </c>
      <c r="Q174" s="84" t="s">
        <v>656</v>
      </c>
      <c r="R174" s="84"/>
      <c r="S174" s="84"/>
      <c r="T174" s="84"/>
      <c r="U174" s="84"/>
      <c r="V174" s="87" t="str">
        <f>HYPERLINK("http://pbs.twimg.com/profile_images/1279385532527554560/YNNczgpR_normal.jpg")</f>
        <v>http://pbs.twimg.com/profile_images/1279385532527554560/YNNczgpR_normal.jpg</v>
      </c>
      <c r="W174" s="86">
        <v>44023.333055555559</v>
      </c>
      <c r="X174" s="90">
        <v>44023</v>
      </c>
      <c r="Y174" s="92" t="s">
        <v>1085</v>
      </c>
      <c r="Z174" s="87" t="str">
        <f>HYPERLINK("https://twitter.com/twoasiyesquire/status/1281860677766746113")</f>
        <v>https://twitter.com/twoasiyesquire/status/1281860677766746113</v>
      </c>
      <c r="AA174" s="84"/>
      <c r="AB174" s="84"/>
      <c r="AC174" s="92" t="s">
        <v>1504</v>
      </c>
      <c r="AD174" s="84"/>
      <c r="AE174" s="84" t="b">
        <v>0</v>
      </c>
      <c r="AF174" s="84">
        <v>0</v>
      </c>
      <c r="AG174" s="92" t="s">
        <v>1724</v>
      </c>
      <c r="AH174" s="84" t="b">
        <v>0</v>
      </c>
      <c r="AI174" s="84" t="s">
        <v>1750</v>
      </c>
      <c r="AJ174" s="84"/>
      <c r="AK174" s="92" t="s">
        <v>1724</v>
      </c>
      <c r="AL174" s="84" t="b">
        <v>0</v>
      </c>
      <c r="AM174" s="84">
        <v>3</v>
      </c>
      <c r="AN174" s="92" t="s">
        <v>1505</v>
      </c>
      <c r="AO174" s="84" t="s">
        <v>1763</v>
      </c>
      <c r="AP174" s="84" t="b">
        <v>0</v>
      </c>
      <c r="AQ174" s="92" t="s">
        <v>1505</v>
      </c>
      <c r="AR174" s="84" t="s">
        <v>179</v>
      </c>
      <c r="AS174" s="84">
        <v>0</v>
      </c>
      <c r="AT174" s="84">
        <v>0</v>
      </c>
      <c r="AU174" s="84"/>
      <c r="AV174" s="84"/>
      <c r="AW174" s="84"/>
      <c r="AX174" s="84"/>
      <c r="AY174" s="84"/>
      <c r="AZ174" s="84"/>
      <c r="BA174" s="84"/>
      <c r="BB174" s="84"/>
    </row>
    <row r="175" spans="1:54" x14ac:dyDescent="0.2">
      <c r="A175" s="69" t="s">
        <v>362</v>
      </c>
      <c r="B175" s="69" t="s">
        <v>363</v>
      </c>
      <c r="C175" s="70"/>
      <c r="D175" s="71"/>
      <c r="E175" s="72"/>
      <c r="F175" s="73"/>
      <c r="G175" s="70"/>
      <c r="H175" s="74"/>
      <c r="I175" s="75"/>
      <c r="J175" s="75"/>
      <c r="K175" s="36"/>
      <c r="L175" s="82"/>
      <c r="M175" s="82"/>
      <c r="N175" s="77"/>
      <c r="O175" s="84" t="s">
        <v>500</v>
      </c>
      <c r="P175" s="86">
        <v>44023.333055555559</v>
      </c>
      <c r="Q175" s="84" t="s">
        <v>656</v>
      </c>
      <c r="R175" s="84"/>
      <c r="S175" s="84"/>
      <c r="T175" s="84"/>
      <c r="U175" s="84"/>
      <c r="V175" s="87" t="str">
        <f>HYPERLINK("http://pbs.twimg.com/profile_images/1279385532527554560/YNNczgpR_normal.jpg")</f>
        <v>http://pbs.twimg.com/profile_images/1279385532527554560/YNNczgpR_normal.jpg</v>
      </c>
      <c r="W175" s="86">
        <v>44023.333055555559</v>
      </c>
      <c r="X175" s="90">
        <v>44023</v>
      </c>
      <c r="Y175" s="92" t="s">
        <v>1085</v>
      </c>
      <c r="Z175" s="87" t="str">
        <f>HYPERLINK("https://twitter.com/twoasiyesquire/status/1281860677766746113")</f>
        <v>https://twitter.com/twoasiyesquire/status/1281860677766746113</v>
      </c>
      <c r="AA175" s="84"/>
      <c r="AB175" s="84"/>
      <c r="AC175" s="92" t="s">
        <v>1504</v>
      </c>
      <c r="AD175" s="84"/>
      <c r="AE175" s="84" t="b">
        <v>0</v>
      </c>
      <c r="AF175" s="84">
        <v>0</v>
      </c>
      <c r="AG175" s="92" t="s">
        <v>1724</v>
      </c>
      <c r="AH175" s="84" t="b">
        <v>0</v>
      </c>
      <c r="AI175" s="84" t="s">
        <v>1750</v>
      </c>
      <c r="AJ175" s="84"/>
      <c r="AK175" s="92" t="s">
        <v>1724</v>
      </c>
      <c r="AL175" s="84" t="b">
        <v>0</v>
      </c>
      <c r="AM175" s="84">
        <v>3</v>
      </c>
      <c r="AN175" s="92" t="s">
        <v>1505</v>
      </c>
      <c r="AO175" s="84" t="s">
        <v>1763</v>
      </c>
      <c r="AP175" s="84" t="b">
        <v>0</v>
      </c>
      <c r="AQ175" s="92" t="s">
        <v>1505</v>
      </c>
      <c r="AR175" s="84" t="s">
        <v>179</v>
      </c>
      <c r="AS175" s="84">
        <v>0</v>
      </c>
      <c r="AT175" s="84">
        <v>0</v>
      </c>
      <c r="AU175" s="84"/>
      <c r="AV175" s="84"/>
      <c r="AW175" s="84"/>
      <c r="AX175" s="84"/>
      <c r="AY175" s="84"/>
      <c r="AZ175" s="84"/>
      <c r="BA175" s="84"/>
      <c r="BB175" s="84"/>
    </row>
    <row r="176" spans="1:54" x14ac:dyDescent="0.2">
      <c r="A176" s="69" t="s">
        <v>361</v>
      </c>
      <c r="B176" s="69" t="s">
        <v>361</v>
      </c>
      <c r="C176" s="70"/>
      <c r="D176" s="71"/>
      <c r="E176" s="72"/>
      <c r="F176" s="73"/>
      <c r="G176" s="70"/>
      <c r="H176" s="74"/>
      <c r="I176" s="75"/>
      <c r="J176" s="75"/>
      <c r="K176" s="36"/>
      <c r="L176" s="82"/>
      <c r="M176" s="82"/>
      <c r="N176" s="77"/>
      <c r="O176" s="84" t="s">
        <v>179</v>
      </c>
      <c r="P176" s="86">
        <v>44023.332442129627</v>
      </c>
      <c r="Q176" s="84" t="s">
        <v>672</v>
      </c>
      <c r="R176" s="84"/>
      <c r="S176" s="84"/>
      <c r="T176" s="84" t="s">
        <v>781</v>
      </c>
      <c r="U176" s="87" t="str">
        <f>HYPERLINK("https://pbs.twimg.com/media/EcoVR94UEAE565R.jpg")</f>
        <v>https://pbs.twimg.com/media/EcoVR94UEAE565R.jpg</v>
      </c>
      <c r="V176" s="87" t="str">
        <f>HYPERLINK("https://pbs.twimg.com/media/EcoVR94UEAE565R.jpg")</f>
        <v>https://pbs.twimg.com/media/EcoVR94UEAE565R.jpg</v>
      </c>
      <c r="W176" s="86">
        <v>44023.332442129627</v>
      </c>
      <c r="X176" s="90">
        <v>44023</v>
      </c>
      <c r="Y176" s="92" t="s">
        <v>1083</v>
      </c>
      <c r="Z176" s="87" t="str">
        <f>HYPERLINK("https://twitter.com/ishigo18/status/1281860455590326272")</f>
        <v>https://twitter.com/ishigo18/status/1281860455590326272</v>
      </c>
      <c r="AA176" s="84"/>
      <c r="AB176" s="84"/>
      <c r="AC176" s="92" t="s">
        <v>1502</v>
      </c>
      <c r="AD176" s="84"/>
      <c r="AE176" s="84" t="b">
        <v>0</v>
      </c>
      <c r="AF176" s="84">
        <v>4</v>
      </c>
      <c r="AG176" s="92" t="s">
        <v>1724</v>
      </c>
      <c r="AH176" s="84" t="b">
        <v>0</v>
      </c>
      <c r="AI176" s="84" t="s">
        <v>1750</v>
      </c>
      <c r="AJ176" s="84"/>
      <c r="AK176" s="92" t="s">
        <v>1724</v>
      </c>
      <c r="AL176" s="84" t="b">
        <v>0</v>
      </c>
      <c r="AM176" s="84">
        <v>0</v>
      </c>
      <c r="AN176" s="92" t="s">
        <v>1724</v>
      </c>
      <c r="AO176" s="84" t="s">
        <v>1763</v>
      </c>
      <c r="AP176" s="84" t="b">
        <v>0</v>
      </c>
      <c r="AQ176" s="92" t="s">
        <v>1502</v>
      </c>
      <c r="AR176" s="84" t="s">
        <v>179</v>
      </c>
      <c r="AS176" s="84">
        <v>0</v>
      </c>
      <c r="AT176" s="84">
        <v>0</v>
      </c>
      <c r="AU176" s="84"/>
      <c r="AV176" s="84"/>
      <c r="AW176" s="84"/>
      <c r="AX176" s="84"/>
      <c r="AY176" s="84"/>
      <c r="AZ176" s="84"/>
      <c r="BA176" s="84"/>
      <c r="BB176" s="84"/>
    </row>
    <row r="177" spans="1:54" x14ac:dyDescent="0.2">
      <c r="A177" s="69" t="s">
        <v>360</v>
      </c>
      <c r="B177" s="69" t="s">
        <v>359</v>
      </c>
      <c r="C177" s="70"/>
      <c r="D177" s="71"/>
      <c r="E177" s="72"/>
      <c r="F177" s="73"/>
      <c r="G177" s="70"/>
      <c r="H177" s="74"/>
      <c r="I177" s="75"/>
      <c r="J177" s="75"/>
      <c r="K177" s="36"/>
      <c r="L177" s="82"/>
      <c r="M177" s="82"/>
      <c r="N177" s="77"/>
      <c r="O177" s="84" t="s">
        <v>500</v>
      </c>
      <c r="P177" s="86">
        <v>44023.331631944442</v>
      </c>
      <c r="Q177" s="84" t="s">
        <v>644</v>
      </c>
      <c r="R177" s="84"/>
      <c r="S177" s="84"/>
      <c r="T177" s="84" t="s">
        <v>781</v>
      </c>
      <c r="U177" s="87" t="str">
        <f>HYPERLINK("https://pbs.twimg.com/media/EcmhL-lU0AEU6uL.jpg")</f>
        <v>https://pbs.twimg.com/media/EcmhL-lU0AEU6uL.jpg</v>
      </c>
      <c r="V177" s="87" t="str">
        <f>HYPERLINK("https://pbs.twimg.com/media/EcmhL-lU0AEU6uL.jpg")</f>
        <v>https://pbs.twimg.com/media/EcmhL-lU0AEU6uL.jpg</v>
      </c>
      <c r="W177" s="86">
        <v>44023.331631944442</v>
      </c>
      <c r="X177" s="90">
        <v>44023</v>
      </c>
      <c r="Y177" s="92" t="s">
        <v>1082</v>
      </c>
      <c r="Z177" s="87" t="str">
        <f>HYPERLINK("https://twitter.com/sinestzet/status/1281860163423498241")</f>
        <v>https://twitter.com/sinestzet/status/1281860163423498241</v>
      </c>
      <c r="AA177" s="84"/>
      <c r="AB177" s="84"/>
      <c r="AC177" s="92" t="s">
        <v>1501</v>
      </c>
      <c r="AD177" s="84"/>
      <c r="AE177" s="84" t="b">
        <v>0</v>
      </c>
      <c r="AF177" s="84">
        <v>0</v>
      </c>
      <c r="AG177" s="92" t="s">
        <v>1724</v>
      </c>
      <c r="AH177" s="84" t="b">
        <v>0</v>
      </c>
      <c r="AI177" s="84" t="s">
        <v>1750</v>
      </c>
      <c r="AJ177" s="84"/>
      <c r="AK177" s="92" t="s">
        <v>1724</v>
      </c>
      <c r="AL177" s="84" t="b">
        <v>0</v>
      </c>
      <c r="AM177" s="84">
        <v>6</v>
      </c>
      <c r="AN177" s="92" t="s">
        <v>1500</v>
      </c>
      <c r="AO177" s="84" t="s">
        <v>1766</v>
      </c>
      <c r="AP177" s="84" t="b">
        <v>0</v>
      </c>
      <c r="AQ177" s="92" t="s">
        <v>1500</v>
      </c>
      <c r="AR177" s="84" t="s">
        <v>179</v>
      </c>
      <c r="AS177" s="84">
        <v>0</v>
      </c>
      <c r="AT177" s="84">
        <v>0</v>
      </c>
      <c r="AU177" s="84"/>
      <c r="AV177" s="84"/>
      <c r="AW177" s="84"/>
      <c r="AX177" s="84"/>
      <c r="AY177" s="84"/>
      <c r="AZ177" s="84"/>
      <c r="BA177" s="84"/>
      <c r="BB177" s="84"/>
    </row>
    <row r="178" spans="1:54" x14ac:dyDescent="0.2">
      <c r="A178" s="69" t="s">
        <v>358</v>
      </c>
      <c r="B178" s="69" t="s">
        <v>358</v>
      </c>
      <c r="C178" s="70"/>
      <c r="D178" s="71"/>
      <c r="E178" s="72"/>
      <c r="F178" s="73"/>
      <c r="G178" s="70"/>
      <c r="H178" s="74"/>
      <c r="I178" s="75"/>
      <c r="J178" s="75"/>
      <c r="K178" s="36"/>
      <c r="L178" s="82"/>
      <c r="M178" s="82"/>
      <c r="N178" s="77"/>
      <c r="O178" s="84" t="s">
        <v>179</v>
      </c>
      <c r="P178" s="86">
        <v>44023.318472222221</v>
      </c>
      <c r="Q178" s="84" t="s">
        <v>667</v>
      </c>
      <c r="R178" s="84"/>
      <c r="S178" s="84"/>
      <c r="T178" s="84" t="s">
        <v>835</v>
      </c>
      <c r="U178" s="87" t="str">
        <f>HYPERLINK("https://pbs.twimg.com/ext_tw_video_thumb/1281855381023514627/pu/img/W1zXGdwi8UXwrGNZ.jpg")</f>
        <v>https://pbs.twimg.com/ext_tw_video_thumb/1281855381023514627/pu/img/W1zXGdwi8UXwrGNZ.jpg</v>
      </c>
      <c r="V178" s="87" t="str">
        <f>HYPERLINK("https://pbs.twimg.com/ext_tw_video_thumb/1281855381023514627/pu/img/W1zXGdwi8UXwrGNZ.jpg")</f>
        <v>https://pbs.twimg.com/ext_tw_video_thumb/1281855381023514627/pu/img/W1zXGdwi8UXwrGNZ.jpg</v>
      </c>
      <c r="W178" s="86">
        <v>44023.318472222221</v>
      </c>
      <c r="X178" s="90">
        <v>44023</v>
      </c>
      <c r="Y178" s="92" t="s">
        <v>1076</v>
      </c>
      <c r="Z178" s="87" t="str">
        <f>HYPERLINK("https://twitter.com/bluelightgoo/status/1281855393614794753")</f>
        <v>https://twitter.com/bluelightgoo/status/1281855393614794753</v>
      </c>
      <c r="AA178" s="84"/>
      <c r="AB178" s="84"/>
      <c r="AC178" s="92" t="s">
        <v>1495</v>
      </c>
      <c r="AD178" s="84"/>
      <c r="AE178" s="84" t="b">
        <v>0</v>
      </c>
      <c r="AF178" s="84">
        <v>12</v>
      </c>
      <c r="AG178" s="92" t="s">
        <v>1724</v>
      </c>
      <c r="AH178" s="84" t="b">
        <v>0</v>
      </c>
      <c r="AI178" s="84" t="s">
        <v>1750</v>
      </c>
      <c r="AJ178" s="84"/>
      <c r="AK178" s="92" t="s">
        <v>1724</v>
      </c>
      <c r="AL178" s="84" t="b">
        <v>0</v>
      </c>
      <c r="AM178" s="84">
        <v>0</v>
      </c>
      <c r="AN178" s="92" t="s">
        <v>1724</v>
      </c>
      <c r="AO178" s="84" t="s">
        <v>1764</v>
      </c>
      <c r="AP178" s="84" t="b">
        <v>0</v>
      </c>
      <c r="AQ178" s="92" t="s">
        <v>1495</v>
      </c>
      <c r="AR178" s="84" t="s">
        <v>179</v>
      </c>
      <c r="AS178" s="84">
        <v>0</v>
      </c>
      <c r="AT178" s="84">
        <v>0</v>
      </c>
      <c r="AU178" s="84"/>
      <c r="AV178" s="84"/>
      <c r="AW178" s="84"/>
      <c r="AX178" s="84"/>
      <c r="AY178" s="84"/>
      <c r="AZ178" s="84"/>
      <c r="BA178" s="84"/>
      <c r="BB178" s="84"/>
    </row>
    <row r="179" spans="1:54" x14ac:dyDescent="0.2">
      <c r="A179" s="69" t="s">
        <v>357</v>
      </c>
      <c r="B179" s="69" t="s">
        <v>409</v>
      </c>
      <c r="C179" s="70"/>
      <c r="D179" s="71"/>
      <c r="E179" s="72"/>
      <c r="F179" s="73"/>
      <c r="G179" s="70"/>
      <c r="H179" s="74"/>
      <c r="I179" s="75"/>
      <c r="J179" s="75"/>
      <c r="K179" s="36"/>
      <c r="L179" s="82"/>
      <c r="M179" s="82"/>
      <c r="N179" s="77"/>
      <c r="O179" s="84" t="s">
        <v>500</v>
      </c>
      <c r="P179" s="86">
        <v>44023.314456018517</v>
      </c>
      <c r="Q179" s="84" t="s">
        <v>666</v>
      </c>
      <c r="R179" s="84"/>
      <c r="S179" s="84"/>
      <c r="T179" s="84"/>
      <c r="U179" s="84"/>
      <c r="V179" s="87" t="str">
        <f>HYPERLINK("http://pbs.twimg.com/profile_images/914368413673259009/gmggw-BO_normal.jpg")</f>
        <v>http://pbs.twimg.com/profile_images/914368413673259009/gmggw-BO_normal.jpg</v>
      </c>
      <c r="W179" s="86">
        <v>44023.314456018517</v>
      </c>
      <c r="X179" s="90">
        <v>44023</v>
      </c>
      <c r="Y179" s="92" t="s">
        <v>1075</v>
      </c>
      <c r="Z179" s="87" t="str">
        <f>HYPERLINK("https://twitter.com/magicalthorn/status/1281853940540125184")</f>
        <v>https://twitter.com/magicalthorn/status/1281853940540125184</v>
      </c>
      <c r="AA179" s="84"/>
      <c r="AB179" s="84"/>
      <c r="AC179" s="92" t="s">
        <v>1494</v>
      </c>
      <c r="AD179" s="84"/>
      <c r="AE179" s="84" t="b">
        <v>0</v>
      </c>
      <c r="AF179" s="84">
        <v>0</v>
      </c>
      <c r="AG179" s="92" t="s">
        <v>1724</v>
      </c>
      <c r="AH179" s="84" t="b">
        <v>0</v>
      </c>
      <c r="AI179" s="84" t="s">
        <v>1750</v>
      </c>
      <c r="AJ179" s="84"/>
      <c r="AK179" s="92" t="s">
        <v>1724</v>
      </c>
      <c r="AL179" s="84" t="b">
        <v>0</v>
      </c>
      <c r="AM179" s="84">
        <v>1</v>
      </c>
      <c r="AN179" s="92" t="s">
        <v>1596</v>
      </c>
      <c r="AO179" s="84" t="s">
        <v>1766</v>
      </c>
      <c r="AP179" s="84" t="b">
        <v>0</v>
      </c>
      <c r="AQ179" s="92" t="s">
        <v>1596</v>
      </c>
      <c r="AR179" s="84" t="s">
        <v>179</v>
      </c>
      <c r="AS179" s="84">
        <v>0</v>
      </c>
      <c r="AT179" s="84">
        <v>0</v>
      </c>
      <c r="AU179" s="84"/>
      <c r="AV179" s="84"/>
      <c r="AW179" s="84"/>
      <c r="AX179" s="84"/>
      <c r="AY179" s="84"/>
      <c r="AZ179" s="84"/>
      <c r="BA179" s="84"/>
      <c r="BB179" s="84"/>
    </row>
    <row r="180" spans="1:54" x14ac:dyDescent="0.2">
      <c r="A180" s="69" t="s">
        <v>400</v>
      </c>
      <c r="B180" s="69" t="s">
        <v>400</v>
      </c>
      <c r="C180" s="70"/>
      <c r="D180" s="71"/>
      <c r="E180" s="72"/>
      <c r="F180" s="73"/>
      <c r="G180" s="70"/>
      <c r="H180" s="74"/>
      <c r="I180" s="75"/>
      <c r="J180" s="75"/>
      <c r="K180" s="36"/>
      <c r="L180" s="82"/>
      <c r="M180" s="82"/>
      <c r="N180" s="77"/>
      <c r="O180" s="84" t="s">
        <v>179</v>
      </c>
      <c r="P180" s="86">
        <v>44023.312662037039</v>
      </c>
      <c r="Q180" s="84" t="s">
        <v>586</v>
      </c>
      <c r="R180" s="87" t="str">
        <f>HYPERLINK("https://m.facebook.com/anunknownkraftsman")</f>
        <v>https://m.facebook.com/anunknownkraftsman</v>
      </c>
      <c r="S180" s="84" t="s">
        <v>772</v>
      </c>
      <c r="T180" s="84" t="s">
        <v>842</v>
      </c>
      <c r="U180" s="84"/>
      <c r="V180" s="87" t="str">
        <f>HYPERLINK("http://pbs.twimg.com/profile_images/1142556013167632391/vMubfzN-_normal.jpg")</f>
        <v>http://pbs.twimg.com/profile_images/1142556013167632391/vMubfzN-_normal.jpg</v>
      </c>
      <c r="W180" s="86">
        <v>44023.312662037039</v>
      </c>
      <c r="X180" s="90">
        <v>44023</v>
      </c>
      <c r="Y180" s="92" t="s">
        <v>1135</v>
      </c>
      <c r="Z180" s="87" t="str">
        <f>HYPERLINK("https://twitter.com/hc_mmoor1868/status/1281853287436824576")</f>
        <v>https://twitter.com/hc_mmoor1868/status/1281853287436824576</v>
      </c>
      <c r="AA180" s="84"/>
      <c r="AB180" s="84"/>
      <c r="AC180" s="92" t="s">
        <v>1557</v>
      </c>
      <c r="AD180" s="84"/>
      <c r="AE180" s="84" t="b">
        <v>0</v>
      </c>
      <c r="AF180" s="84">
        <v>0</v>
      </c>
      <c r="AG180" s="92" t="s">
        <v>1724</v>
      </c>
      <c r="AH180" s="84" t="b">
        <v>0</v>
      </c>
      <c r="AI180" s="84" t="s">
        <v>1751</v>
      </c>
      <c r="AJ180" s="84"/>
      <c r="AK180" s="92" t="s">
        <v>1724</v>
      </c>
      <c r="AL180" s="84" t="b">
        <v>0</v>
      </c>
      <c r="AM180" s="84">
        <v>0</v>
      </c>
      <c r="AN180" s="92" t="s">
        <v>1724</v>
      </c>
      <c r="AO180" s="84" t="s">
        <v>1783</v>
      </c>
      <c r="AP180" s="84" t="b">
        <v>0</v>
      </c>
      <c r="AQ180" s="92" t="s">
        <v>1557</v>
      </c>
      <c r="AR180" s="84" t="s">
        <v>179</v>
      </c>
      <c r="AS180" s="84">
        <v>0</v>
      </c>
      <c r="AT180" s="84">
        <v>0</v>
      </c>
      <c r="AU180" s="84"/>
      <c r="AV180" s="84"/>
      <c r="AW180" s="84"/>
      <c r="AX180" s="84"/>
      <c r="AY180" s="84"/>
      <c r="AZ180" s="84"/>
      <c r="BA180" s="84"/>
      <c r="BB180" s="84"/>
    </row>
    <row r="181" spans="1:54" x14ac:dyDescent="0.2">
      <c r="A181" s="69" t="s">
        <v>356</v>
      </c>
      <c r="B181" s="69" t="s">
        <v>456</v>
      </c>
      <c r="C181" s="70"/>
      <c r="D181" s="71"/>
      <c r="E181" s="72"/>
      <c r="F181" s="73"/>
      <c r="G181" s="70"/>
      <c r="H181" s="74"/>
      <c r="I181" s="75"/>
      <c r="J181" s="75"/>
      <c r="K181" s="36"/>
      <c r="L181" s="82"/>
      <c r="M181" s="82"/>
      <c r="N181" s="77"/>
      <c r="O181" s="84" t="s">
        <v>500</v>
      </c>
      <c r="P181" s="86">
        <v>44023.306956018518</v>
      </c>
      <c r="Q181" s="84" t="s">
        <v>657</v>
      </c>
      <c r="R181" s="84"/>
      <c r="S181" s="84"/>
      <c r="T181" s="84" t="s">
        <v>834</v>
      </c>
      <c r="U181" s="84"/>
      <c r="V181" s="87" t="str">
        <f>HYPERLINK("http://pbs.twimg.com/profile_images/1223010045652295683/niOy0v8M_normal.jpg")</f>
        <v>http://pbs.twimg.com/profile_images/1223010045652295683/niOy0v8M_normal.jpg</v>
      </c>
      <c r="W181" s="86">
        <v>44023.306956018518</v>
      </c>
      <c r="X181" s="90">
        <v>44023</v>
      </c>
      <c r="Y181" s="92" t="s">
        <v>1064</v>
      </c>
      <c r="Z181" s="87" t="str">
        <f>HYPERLINK("https://twitter.com/anthonyspradl12/status/1281851221696012289")</f>
        <v>https://twitter.com/anthonyspradl12/status/1281851221696012289</v>
      </c>
      <c r="AA181" s="84"/>
      <c r="AB181" s="84"/>
      <c r="AC181" s="92" t="s">
        <v>1483</v>
      </c>
      <c r="AD181" s="84"/>
      <c r="AE181" s="84" t="b">
        <v>0</v>
      </c>
      <c r="AF181" s="84">
        <v>0</v>
      </c>
      <c r="AG181" s="92" t="s">
        <v>1724</v>
      </c>
      <c r="AH181" s="84" t="b">
        <v>0</v>
      </c>
      <c r="AI181" s="84" t="s">
        <v>1751</v>
      </c>
      <c r="AJ181" s="84"/>
      <c r="AK181" s="92" t="s">
        <v>1724</v>
      </c>
      <c r="AL181" s="84" t="b">
        <v>0</v>
      </c>
      <c r="AM181" s="84">
        <v>51</v>
      </c>
      <c r="AN181" s="92" t="s">
        <v>1680</v>
      </c>
      <c r="AO181" s="84" t="s">
        <v>1764</v>
      </c>
      <c r="AP181" s="84" t="b">
        <v>0</v>
      </c>
      <c r="AQ181" s="92" t="s">
        <v>1680</v>
      </c>
      <c r="AR181" s="84" t="s">
        <v>179</v>
      </c>
      <c r="AS181" s="84">
        <v>0</v>
      </c>
      <c r="AT181" s="84">
        <v>0</v>
      </c>
      <c r="AU181" s="84"/>
      <c r="AV181" s="84"/>
      <c r="AW181" s="84"/>
      <c r="AX181" s="84"/>
      <c r="AY181" s="84"/>
      <c r="AZ181" s="84"/>
      <c r="BA181" s="84"/>
      <c r="BB181" s="84"/>
    </row>
    <row r="182" spans="1:54" x14ac:dyDescent="0.2">
      <c r="A182" s="69" t="s">
        <v>409</v>
      </c>
      <c r="B182" s="69" t="s">
        <v>409</v>
      </c>
      <c r="C182" s="70"/>
      <c r="D182" s="71"/>
      <c r="E182" s="72"/>
      <c r="F182" s="73"/>
      <c r="G182" s="70"/>
      <c r="H182" s="74"/>
      <c r="I182" s="75"/>
      <c r="J182" s="75"/>
      <c r="K182" s="36"/>
      <c r="L182" s="82"/>
      <c r="M182" s="82"/>
      <c r="N182" s="77"/>
      <c r="O182" s="84" t="s">
        <v>179</v>
      </c>
      <c r="P182" s="86">
        <v>44023.301458333335</v>
      </c>
      <c r="Q182" s="84" t="s">
        <v>666</v>
      </c>
      <c r="R182" s="84"/>
      <c r="S182" s="84"/>
      <c r="T182" s="84" t="s">
        <v>781</v>
      </c>
      <c r="U182" s="84"/>
      <c r="V182" s="87" t="str">
        <f>HYPERLINK("http://pbs.twimg.com/profile_images/1236668333157519361/R8t7DbMO_normal.jpg")</f>
        <v>http://pbs.twimg.com/profile_images/1236668333157519361/R8t7DbMO_normal.jpg</v>
      </c>
      <c r="W182" s="86">
        <v>44023.301458333335</v>
      </c>
      <c r="X182" s="90">
        <v>44023</v>
      </c>
      <c r="Y182" s="92" t="s">
        <v>1175</v>
      </c>
      <c r="Z182" s="87" t="str">
        <f>HYPERLINK("https://twitter.com/sinxsan/status/1281849228101251072")</f>
        <v>https://twitter.com/sinxsan/status/1281849228101251072</v>
      </c>
      <c r="AA182" s="84"/>
      <c r="AB182" s="84"/>
      <c r="AC182" s="92" t="s">
        <v>1596</v>
      </c>
      <c r="AD182" s="92" t="s">
        <v>1593</v>
      </c>
      <c r="AE182" s="84" t="b">
        <v>0</v>
      </c>
      <c r="AF182" s="84">
        <v>3</v>
      </c>
      <c r="AG182" s="92" t="s">
        <v>1740</v>
      </c>
      <c r="AH182" s="84" t="b">
        <v>0</v>
      </c>
      <c r="AI182" s="84" t="s">
        <v>1750</v>
      </c>
      <c r="AJ182" s="84"/>
      <c r="AK182" s="92" t="s">
        <v>1724</v>
      </c>
      <c r="AL182" s="84" t="b">
        <v>0</v>
      </c>
      <c r="AM182" s="84">
        <v>1</v>
      </c>
      <c r="AN182" s="92" t="s">
        <v>1724</v>
      </c>
      <c r="AO182" s="84" t="s">
        <v>1763</v>
      </c>
      <c r="AP182" s="84" t="b">
        <v>0</v>
      </c>
      <c r="AQ182" s="92" t="s">
        <v>1593</v>
      </c>
      <c r="AR182" s="84" t="s">
        <v>179</v>
      </c>
      <c r="AS182" s="84">
        <v>0</v>
      </c>
      <c r="AT182" s="84">
        <v>0</v>
      </c>
      <c r="AU182" s="84"/>
      <c r="AV182" s="84"/>
      <c r="AW182" s="84"/>
      <c r="AX182" s="84"/>
      <c r="AY182" s="84"/>
      <c r="AZ182" s="84"/>
      <c r="BA182" s="84"/>
      <c r="BB182" s="84"/>
    </row>
    <row r="183" spans="1:54" x14ac:dyDescent="0.2">
      <c r="A183" s="69" t="s">
        <v>355</v>
      </c>
      <c r="B183" s="69" t="s">
        <v>456</v>
      </c>
      <c r="C183" s="70"/>
      <c r="D183" s="71"/>
      <c r="E183" s="72"/>
      <c r="F183" s="73"/>
      <c r="G183" s="70"/>
      <c r="H183" s="74"/>
      <c r="I183" s="75"/>
      <c r="J183" s="75"/>
      <c r="K183" s="36"/>
      <c r="L183" s="82"/>
      <c r="M183" s="82"/>
      <c r="N183" s="77"/>
      <c r="O183" s="84" t="s">
        <v>500</v>
      </c>
      <c r="P183" s="86">
        <v>44023.265173611115</v>
      </c>
      <c r="Q183" s="84" t="s">
        <v>657</v>
      </c>
      <c r="R183" s="84"/>
      <c r="S183" s="84"/>
      <c r="T183" s="84" t="s">
        <v>834</v>
      </c>
      <c r="U183" s="84"/>
      <c r="V183" s="87" t="str">
        <f>HYPERLINK("http://pbs.twimg.com/profile_images/615335092987297792/vHYdT-PO_normal.jpg")</f>
        <v>http://pbs.twimg.com/profile_images/615335092987297792/vHYdT-PO_normal.jpg</v>
      </c>
      <c r="W183" s="86">
        <v>44023.265173611115</v>
      </c>
      <c r="X183" s="90">
        <v>44023</v>
      </c>
      <c r="Y183" s="92" t="s">
        <v>1063</v>
      </c>
      <c r="Z183" s="87" t="str">
        <f>HYPERLINK("https://twitter.com/bim_star/status/1281836078761213952")</f>
        <v>https://twitter.com/bim_star/status/1281836078761213952</v>
      </c>
      <c r="AA183" s="84"/>
      <c r="AB183" s="84"/>
      <c r="AC183" s="92" t="s">
        <v>1482</v>
      </c>
      <c r="AD183" s="84"/>
      <c r="AE183" s="84" t="b">
        <v>0</v>
      </c>
      <c r="AF183" s="84">
        <v>0</v>
      </c>
      <c r="AG183" s="92" t="s">
        <v>1724</v>
      </c>
      <c r="AH183" s="84" t="b">
        <v>0</v>
      </c>
      <c r="AI183" s="84" t="s">
        <v>1751</v>
      </c>
      <c r="AJ183" s="84"/>
      <c r="AK183" s="92" t="s">
        <v>1724</v>
      </c>
      <c r="AL183" s="84" t="b">
        <v>0</v>
      </c>
      <c r="AM183" s="84">
        <v>51</v>
      </c>
      <c r="AN183" s="92" t="s">
        <v>1680</v>
      </c>
      <c r="AO183" s="84" t="s">
        <v>1766</v>
      </c>
      <c r="AP183" s="84" t="b">
        <v>0</v>
      </c>
      <c r="AQ183" s="92" t="s">
        <v>1680</v>
      </c>
      <c r="AR183" s="84" t="s">
        <v>179</v>
      </c>
      <c r="AS183" s="84">
        <v>0</v>
      </c>
      <c r="AT183" s="84">
        <v>0</v>
      </c>
      <c r="AU183" s="84"/>
      <c r="AV183" s="84"/>
      <c r="AW183" s="84"/>
      <c r="AX183" s="84"/>
      <c r="AY183" s="84"/>
      <c r="AZ183" s="84"/>
      <c r="BA183" s="84"/>
      <c r="BB183" s="84"/>
    </row>
    <row r="184" spans="1:54" x14ac:dyDescent="0.2">
      <c r="A184" s="69" t="s">
        <v>354</v>
      </c>
      <c r="B184" s="69" t="s">
        <v>456</v>
      </c>
      <c r="C184" s="70"/>
      <c r="D184" s="71"/>
      <c r="E184" s="72"/>
      <c r="F184" s="73"/>
      <c r="G184" s="70"/>
      <c r="H184" s="74"/>
      <c r="I184" s="75"/>
      <c r="J184" s="75"/>
      <c r="K184" s="36"/>
      <c r="L184" s="82"/>
      <c r="M184" s="82"/>
      <c r="N184" s="77"/>
      <c r="O184" s="84" t="s">
        <v>500</v>
      </c>
      <c r="P184" s="86">
        <v>44023.239548611113</v>
      </c>
      <c r="Q184" s="84" t="s">
        <v>657</v>
      </c>
      <c r="R184" s="84"/>
      <c r="S184" s="84"/>
      <c r="T184" s="84" t="s">
        <v>834</v>
      </c>
      <c r="U184" s="84"/>
      <c r="V184" s="87" t="str">
        <f>HYPERLINK("http://pbs.twimg.com/profile_images/2872569681/e4aea34c1e304be0bd1c6e7c3766ef63_normal.jpeg")</f>
        <v>http://pbs.twimg.com/profile_images/2872569681/e4aea34c1e304be0bd1c6e7c3766ef63_normal.jpeg</v>
      </c>
      <c r="W184" s="86">
        <v>44023.239548611113</v>
      </c>
      <c r="X184" s="90">
        <v>44023</v>
      </c>
      <c r="Y184" s="92" t="s">
        <v>1062</v>
      </c>
      <c r="Z184" s="87" t="str">
        <f>HYPERLINK("https://twitter.com/armendqaushi/status/1281826795252219905")</f>
        <v>https://twitter.com/armendqaushi/status/1281826795252219905</v>
      </c>
      <c r="AA184" s="84"/>
      <c r="AB184" s="84"/>
      <c r="AC184" s="92" t="s">
        <v>1481</v>
      </c>
      <c r="AD184" s="84"/>
      <c r="AE184" s="84" t="b">
        <v>0</v>
      </c>
      <c r="AF184" s="84">
        <v>0</v>
      </c>
      <c r="AG184" s="92" t="s">
        <v>1724</v>
      </c>
      <c r="AH184" s="84" t="b">
        <v>0</v>
      </c>
      <c r="AI184" s="84" t="s">
        <v>1751</v>
      </c>
      <c r="AJ184" s="84"/>
      <c r="AK184" s="92" t="s">
        <v>1724</v>
      </c>
      <c r="AL184" s="84" t="b">
        <v>0</v>
      </c>
      <c r="AM184" s="84">
        <v>51</v>
      </c>
      <c r="AN184" s="92" t="s">
        <v>1680</v>
      </c>
      <c r="AO184" s="84" t="s">
        <v>1764</v>
      </c>
      <c r="AP184" s="84" t="b">
        <v>0</v>
      </c>
      <c r="AQ184" s="92" t="s">
        <v>1680</v>
      </c>
      <c r="AR184" s="84" t="s">
        <v>179</v>
      </c>
      <c r="AS184" s="84">
        <v>0</v>
      </c>
      <c r="AT184" s="84">
        <v>0</v>
      </c>
      <c r="AU184" s="84"/>
      <c r="AV184" s="84"/>
      <c r="AW184" s="84"/>
      <c r="AX184" s="84"/>
      <c r="AY184" s="84"/>
      <c r="AZ184" s="84"/>
      <c r="BA184" s="84"/>
      <c r="BB184" s="84"/>
    </row>
    <row r="185" spans="1:54" x14ac:dyDescent="0.2">
      <c r="A185" s="69" t="s">
        <v>353</v>
      </c>
      <c r="B185" s="69" t="s">
        <v>456</v>
      </c>
      <c r="C185" s="70"/>
      <c r="D185" s="71"/>
      <c r="E185" s="72"/>
      <c r="F185" s="73"/>
      <c r="G185" s="70"/>
      <c r="H185" s="74"/>
      <c r="I185" s="75"/>
      <c r="J185" s="75"/>
      <c r="K185" s="36"/>
      <c r="L185" s="82"/>
      <c r="M185" s="82"/>
      <c r="N185" s="77"/>
      <c r="O185" s="84" t="s">
        <v>500</v>
      </c>
      <c r="P185" s="86">
        <v>44023.225543981483</v>
      </c>
      <c r="Q185" s="84" t="s">
        <v>657</v>
      </c>
      <c r="R185" s="84"/>
      <c r="S185" s="84"/>
      <c r="T185" s="84" t="s">
        <v>834</v>
      </c>
      <c r="U185" s="84"/>
      <c r="V185" s="87" t="str">
        <f>HYPERLINK("http://pbs.twimg.com/profile_images/1274880199901843456/zoMDEvYR_normal.jpg")</f>
        <v>http://pbs.twimg.com/profile_images/1274880199901843456/zoMDEvYR_normal.jpg</v>
      </c>
      <c r="W185" s="86">
        <v>44023.225543981483</v>
      </c>
      <c r="X185" s="90">
        <v>44023</v>
      </c>
      <c r="Y185" s="92" t="s">
        <v>1061</v>
      </c>
      <c r="Z185" s="87" t="str">
        <f>HYPERLINK("https://twitter.com/hugh_nonymous/status/1281821718403624960")</f>
        <v>https://twitter.com/hugh_nonymous/status/1281821718403624960</v>
      </c>
      <c r="AA185" s="84"/>
      <c r="AB185" s="84"/>
      <c r="AC185" s="92" t="s">
        <v>1480</v>
      </c>
      <c r="AD185" s="84"/>
      <c r="AE185" s="84" t="b">
        <v>0</v>
      </c>
      <c r="AF185" s="84">
        <v>0</v>
      </c>
      <c r="AG185" s="92" t="s">
        <v>1724</v>
      </c>
      <c r="AH185" s="84" t="b">
        <v>0</v>
      </c>
      <c r="AI185" s="84" t="s">
        <v>1751</v>
      </c>
      <c r="AJ185" s="84"/>
      <c r="AK185" s="92" t="s">
        <v>1724</v>
      </c>
      <c r="AL185" s="84" t="b">
        <v>0</v>
      </c>
      <c r="AM185" s="84">
        <v>51</v>
      </c>
      <c r="AN185" s="92" t="s">
        <v>1680</v>
      </c>
      <c r="AO185" s="84" t="s">
        <v>1764</v>
      </c>
      <c r="AP185" s="84" t="b">
        <v>0</v>
      </c>
      <c r="AQ185" s="92" t="s">
        <v>1680</v>
      </c>
      <c r="AR185" s="84" t="s">
        <v>179</v>
      </c>
      <c r="AS185" s="84">
        <v>0</v>
      </c>
      <c r="AT185" s="84">
        <v>0</v>
      </c>
      <c r="AU185" s="84"/>
      <c r="AV185" s="84"/>
      <c r="AW185" s="84"/>
      <c r="AX185" s="84"/>
      <c r="AY185" s="84"/>
      <c r="AZ185" s="84"/>
      <c r="BA185" s="84"/>
      <c r="BB185" s="84"/>
    </row>
    <row r="186" spans="1:54" x14ac:dyDescent="0.2">
      <c r="A186" s="69" t="s">
        <v>352</v>
      </c>
      <c r="B186" s="69" t="s">
        <v>456</v>
      </c>
      <c r="C186" s="70"/>
      <c r="D186" s="71"/>
      <c r="E186" s="72"/>
      <c r="F186" s="73"/>
      <c r="G186" s="70"/>
      <c r="H186" s="74"/>
      <c r="I186" s="75"/>
      <c r="J186" s="75"/>
      <c r="K186" s="36"/>
      <c r="L186" s="82"/>
      <c r="M186" s="82"/>
      <c r="N186" s="77"/>
      <c r="O186" s="84" t="s">
        <v>500</v>
      </c>
      <c r="P186" s="86">
        <v>44023.222812499997</v>
      </c>
      <c r="Q186" s="84" t="s">
        <v>657</v>
      </c>
      <c r="R186" s="84"/>
      <c r="S186" s="84"/>
      <c r="T186" s="84" t="s">
        <v>834</v>
      </c>
      <c r="U186" s="84"/>
      <c r="V186" s="87" t="str">
        <f>HYPERLINK("http://pbs.twimg.com/profile_images/1252506436858531840/0mC38iF6_normal.jpg")</f>
        <v>http://pbs.twimg.com/profile_images/1252506436858531840/0mC38iF6_normal.jpg</v>
      </c>
      <c r="W186" s="86">
        <v>44023.222812499997</v>
      </c>
      <c r="X186" s="90">
        <v>44023</v>
      </c>
      <c r="Y186" s="92" t="s">
        <v>1060</v>
      </c>
      <c r="Z186" s="87" t="str">
        <f>HYPERLINK("https://twitter.com/renesaenz17/status/1281820728073969664")</f>
        <v>https://twitter.com/renesaenz17/status/1281820728073969664</v>
      </c>
      <c r="AA186" s="84"/>
      <c r="AB186" s="84"/>
      <c r="AC186" s="92" t="s">
        <v>1479</v>
      </c>
      <c r="AD186" s="84"/>
      <c r="AE186" s="84" t="b">
        <v>0</v>
      </c>
      <c r="AF186" s="84">
        <v>0</v>
      </c>
      <c r="AG186" s="92" t="s">
        <v>1724</v>
      </c>
      <c r="AH186" s="84" t="b">
        <v>0</v>
      </c>
      <c r="AI186" s="84" t="s">
        <v>1751</v>
      </c>
      <c r="AJ186" s="84"/>
      <c r="AK186" s="92" t="s">
        <v>1724</v>
      </c>
      <c r="AL186" s="84" t="b">
        <v>0</v>
      </c>
      <c r="AM186" s="84">
        <v>51</v>
      </c>
      <c r="AN186" s="92" t="s">
        <v>1680</v>
      </c>
      <c r="AO186" s="84" t="s">
        <v>1763</v>
      </c>
      <c r="AP186" s="84" t="b">
        <v>0</v>
      </c>
      <c r="AQ186" s="92" t="s">
        <v>1680</v>
      </c>
      <c r="AR186" s="84" t="s">
        <v>179</v>
      </c>
      <c r="AS186" s="84">
        <v>0</v>
      </c>
      <c r="AT186" s="84">
        <v>0</v>
      </c>
      <c r="AU186" s="84"/>
      <c r="AV186" s="84"/>
      <c r="AW186" s="84"/>
      <c r="AX186" s="84"/>
      <c r="AY186" s="84"/>
      <c r="AZ186" s="84"/>
      <c r="BA186" s="84"/>
      <c r="BB186" s="84"/>
    </row>
    <row r="187" spans="1:54" x14ac:dyDescent="0.2">
      <c r="A187" s="69" t="s">
        <v>456</v>
      </c>
      <c r="B187" s="69" t="s">
        <v>456</v>
      </c>
      <c r="C187" s="70"/>
      <c r="D187" s="71"/>
      <c r="E187" s="72"/>
      <c r="F187" s="73"/>
      <c r="G187" s="70"/>
      <c r="H187" s="74"/>
      <c r="I187" s="75"/>
      <c r="J187" s="75"/>
      <c r="K187" s="36"/>
      <c r="L187" s="82"/>
      <c r="M187" s="82"/>
      <c r="N187" s="77"/>
      <c r="O187" s="84" t="s">
        <v>179</v>
      </c>
      <c r="P187" s="86">
        <v>44023.216550925928</v>
      </c>
      <c r="Q187" s="84" t="s">
        <v>657</v>
      </c>
      <c r="R187" s="84"/>
      <c r="S187" s="84"/>
      <c r="T187" s="84" t="s">
        <v>858</v>
      </c>
      <c r="U187" s="84"/>
      <c r="V187" s="87" t="str">
        <f>HYPERLINK("http://pbs.twimg.com/profile_images/1166666423713746945/KS63Hdx5_normal.jpg")</f>
        <v>http://pbs.twimg.com/profile_images/1166666423713746945/KS63Hdx5_normal.jpg</v>
      </c>
      <c r="W187" s="86">
        <v>44023.216550925928</v>
      </c>
      <c r="X187" s="90">
        <v>44023</v>
      </c>
      <c r="Y187" s="92" t="s">
        <v>1258</v>
      </c>
      <c r="Z187" s="87" t="str">
        <f>HYPERLINK("https://twitter.com/freesuperhero1/status/1281818457911287809")</f>
        <v>https://twitter.com/freesuperhero1/status/1281818457911287809</v>
      </c>
      <c r="AA187" s="84"/>
      <c r="AB187" s="84"/>
      <c r="AC187" s="92" t="s">
        <v>1680</v>
      </c>
      <c r="AD187" s="84"/>
      <c r="AE187" s="84" t="b">
        <v>0</v>
      </c>
      <c r="AF187" s="84">
        <v>86</v>
      </c>
      <c r="AG187" s="92" t="s">
        <v>1724</v>
      </c>
      <c r="AH187" s="84" t="b">
        <v>0</v>
      </c>
      <c r="AI187" s="84" t="s">
        <v>1751</v>
      </c>
      <c r="AJ187" s="84"/>
      <c r="AK187" s="92" t="s">
        <v>1724</v>
      </c>
      <c r="AL187" s="84" t="b">
        <v>0</v>
      </c>
      <c r="AM187" s="84">
        <v>51</v>
      </c>
      <c r="AN187" s="92" t="s">
        <v>1724</v>
      </c>
      <c r="AO187" s="84" t="s">
        <v>1763</v>
      </c>
      <c r="AP187" s="84" t="b">
        <v>0</v>
      </c>
      <c r="AQ187" s="92" t="s">
        <v>1680</v>
      </c>
      <c r="AR187" s="84" t="s">
        <v>179</v>
      </c>
      <c r="AS187" s="84">
        <v>0</v>
      </c>
      <c r="AT187" s="84">
        <v>0</v>
      </c>
      <c r="AU187" s="84"/>
      <c r="AV187" s="84"/>
      <c r="AW187" s="84"/>
      <c r="AX187" s="84"/>
      <c r="AY187" s="84"/>
      <c r="AZ187" s="84"/>
      <c r="BA187" s="84"/>
      <c r="BB187" s="84"/>
    </row>
    <row r="188" spans="1:54" x14ac:dyDescent="0.2">
      <c r="A188" s="69" t="s">
        <v>351</v>
      </c>
      <c r="B188" s="69" t="s">
        <v>478</v>
      </c>
      <c r="C188" s="70"/>
      <c r="D188" s="71"/>
      <c r="E188" s="72"/>
      <c r="F188" s="73"/>
      <c r="G188" s="70"/>
      <c r="H188" s="74"/>
      <c r="I188" s="75"/>
      <c r="J188" s="75"/>
      <c r="K188" s="36"/>
      <c r="L188" s="82"/>
      <c r="M188" s="82"/>
      <c r="N188" s="77"/>
      <c r="O188" s="84" t="s">
        <v>502</v>
      </c>
      <c r="P188" s="86">
        <v>44023.193773148145</v>
      </c>
      <c r="Q188" s="84" t="s">
        <v>656</v>
      </c>
      <c r="R188" s="84"/>
      <c r="S188" s="84"/>
      <c r="T188" s="84"/>
      <c r="U188" s="84"/>
      <c r="V188" s="87" t="str">
        <f>HYPERLINK("http://pbs.twimg.com/profile_images/1159427556908531712/IR3VKpG6_normal.jpg")</f>
        <v>http://pbs.twimg.com/profile_images/1159427556908531712/IR3VKpG6_normal.jpg</v>
      </c>
      <c r="W188" s="86">
        <v>44023.193773148145</v>
      </c>
      <c r="X188" s="90">
        <v>44023</v>
      </c>
      <c r="Y188" s="92" t="s">
        <v>1059</v>
      </c>
      <c r="Z188" s="87" t="str">
        <f>HYPERLINK("https://twitter.com/yo828_/status/1281810204330307585")</f>
        <v>https://twitter.com/yo828_/status/1281810204330307585</v>
      </c>
      <c r="AA188" s="84"/>
      <c r="AB188" s="84"/>
      <c r="AC188" s="92" t="s">
        <v>1478</v>
      </c>
      <c r="AD188" s="84"/>
      <c r="AE188" s="84" t="b">
        <v>0</v>
      </c>
      <c r="AF188" s="84">
        <v>0</v>
      </c>
      <c r="AG188" s="92" t="s">
        <v>1724</v>
      </c>
      <c r="AH188" s="84" t="b">
        <v>0</v>
      </c>
      <c r="AI188" s="84" t="s">
        <v>1750</v>
      </c>
      <c r="AJ188" s="84"/>
      <c r="AK188" s="92" t="s">
        <v>1724</v>
      </c>
      <c r="AL188" s="84" t="b">
        <v>0</v>
      </c>
      <c r="AM188" s="84">
        <v>3</v>
      </c>
      <c r="AN188" s="92" t="s">
        <v>1505</v>
      </c>
      <c r="AO188" s="84" t="s">
        <v>1763</v>
      </c>
      <c r="AP188" s="84" t="b">
        <v>0</v>
      </c>
      <c r="AQ188" s="92" t="s">
        <v>1505</v>
      </c>
      <c r="AR188" s="84" t="s">
        <v>179</v>
      </c>
      <c r="AS188" s="84">
        <v>0</v>
      </c>
      <c r="AT188" s="84">
        <v>0</v>
      </c>
      <c r="AU188" s="84"/>
      <c r="AV188" s="84"/>
      <c r="AW188" s="84"/>
      <c r="AX188" s="84"/>
      <c r="AY188" s="84"/>
      <c r="AZ188" s="84"/>
      <c r="BA188" s="84"/>
      <c r="BB188" s="84"/>
    </row>
    <row r="189" spans="1:54" x14ac:dyDescent="0.2">
      <c r="A189" s="69" t="s">
        <v>351</v>
      </c>
      <c r="B189" s="69" t="s">
        <v>479</v>
      </c>
      <c r="C189" s="70"/>
      <c r="D189" s="71"/>
      <c r="E189" s="72"/>
      <c r="F189" s="73"/>
      <c r="G189" s="70"/>
      <c r="H189" s="74"/>
      <c r="I189" s="75"/>
      <c r="J189" s="75"/>
      <c r="K189" s="36"/>
      <c r="L189" s="82"/>
      <c r="M189" s="82"/>
      <c r="N189" s="77"/>
      <c r="O189" s="84" t="s">
        <v>502</v>
      </c>
      <c r="P189" s="86">
        <v>44023.193773148145</v>
      </c>
      <c r="Q189" s="84" t="s">
        <v>656</v>
      </c>
      <c r="R189" s="84"/>
      <c r="S189" s="84"/>
      <c r="T189" s="84"/>
      <c r="U189" s="84"/>
      <c r="V189" s="87" t="str">
        <f>HYPERLINK("http://pbs.twimg.com/profile_images/1159427556908531712/IR3VKpG6_normal.jpg")</f>
        <v>http://pbs.twimg.com/profile_images/1159427556908531712/IR3VKpG6_normal.jpg</v>
      </c>
      <c r="W189" s="86">
        <v>44023.193773148145</v>
      </c>
      <c r="X189" s="90">
        <v>44023</v>
      </c>
      <c r="Y189" s="92" t="s">
        <v>1059</v>
      </c>
      <c r="Z189" s="87" t="str">
        <f>HYPERLINK("https://twitter.com/yo828_/status/1281810204330307585")</f>
        <v>https://twitter.com/yo828_/status/1281810204330307585</v>
      </c>
      <c r="AA189" s="84"/>
      <c r="AB189" s="84"/>
      <c r="AC189" s="92" t="s">
        <v>1478</v>
      </c>
      <c r="AD189" s="84"/>
      <c r="AE189" s="84" t="b">
        <v>0</v>
      </c>
      <c r="AF189" s="84">
        <v>0</v>
      </c>
      <c r="AG189" s="92" t="s">
        <v>1724</v>
      </c>
      <c r="AH189" s="84" t="b">
        <v>0</v>
      </c>
      <c r="AI189" s="84" t="s">
        <v>1750</v>
      </c>
      <c r="AJ189" s="84"/>
      <c r="AK189" s="92" t="s">
        <v>1724</v>
      </c>
      <c r="AL189" s="84" t="b">
        <v>0</v>
      </c>
      <c r="AM189" s="84">
        <v>3</v>
      </c>
      <c r="AN189" s="92" t="s">
        <v>1505</v>
      </c>
      <c r="AO189" s="84" t="s">
        <v>1763</v>
      </c>
      <c r="AP189" s="84" t="b">
        <v>0</v>
      </c>
      <c r="AQ189" s="92" t="s">
        <v>1505</v>
      </c>
      <c r="AR189" s="84" t="s">
        <v>179</v>
      </c>
      <c r="AS189" s="84">
        <v>0</v>
      </c>
      <c r="AT189" s="84">
        <v>0</v>
      </c>
      <c r="AU189" s="84"/>
      <c r="AV189" s="84"/>
      <c r="AW189" s="84"/>
      <c r="AX189" s="84"/>
      <c r="AY189" s="84"/>
      <c r="AZ189" s="84"/>
      <c r="BA189" s="84"/>
      <c r="BB189" s="84"/>
    </row>
    <row r="190" spans="1:54" x14ac:dyDescent="0.2">
      <c r="A190" s="69" t="s">
        <v>351</v>
      </c>
      <c r="B190" s="69" t="s">
        <v>363</v>
      </c>
      <c r="C190" s="70"/>
      <c r="D190" s="71"/>
      <c r="E190" s="72"/>
      <c r="F190" s="73"/>
      <c r="G190" s="70"/>
      <c r="H190" s="74"/>
      <c r="I190" s="75"/>
      <c r="J190" s="75"/>
      <c r="K190" s="36"/>
      <c r="L190" s="82"/>
      <c r="M190" s="82"/>
      <c r="N190" s="77"/>
      <c r="O190" s="84" t="s">
        <v>500</v>
      </c>
      <c r="P190" s="86">
        <v>44023.193773148145</v>
      </c>
      <c r="Q190" s="84" t="s">
        <v>656</v>
      </c>
      <c r="R190" s="84"/>
      <c r="S190" s="84"/>
      <c r="T190" s="84"/>
      <c r="U190" s="84"/>
      <c r="V190" s="87" t="str">
        <f>HYPERLINK("http://pbs.twimg.com/profile_images/1159427556908531712/IR3VKpG6_normal.jpg")</f>
        <v>http://pbs.twimg.com/profile_images/1159427556908531712/IR3VKpG6_normal.jpg</v>
      </c>
      <c r="W190" s="86">
        <v>44023.193773148145</v>
      </c>
      <c r="X190" s="90">
        <v>44023</v>
      </c>
      <c r="Y190" s="92" t="s">
        <v>1059</v>
      </c>
      <c r="Z190" s="87" t="str">
        <f>HYPERLINK("https://twitter.com/yo828_/status/1281810204330307585")</f>
        <v>https://twitter.com/yo828_/status/1281810204330307585</v>
      </c>
      <c r="AA190" s="84"/>
      <c r="AB190" s="84"/>
      <c r="AC190" s="92" t="s">
        <v>1478</v>
      </c>
      <c r="AD190" s="84"/>
      <c r="AE190" s="84" t="b">
        <v>0</v>
      </c>
      <c r="AF190" s="84">
        <v>0</v>
      </c>
      <c r="AG190" s="92" t="s">
        <v>1724</v>
      </c>
      <c r="AH190" s="84" t="b">
        <v>0</v>
      </c>
      <c r="AI190" s="84" t="s">
        <v>1750</v>
      </c>
      <c r="AJ190" s="84"/>
      <c r="AK190" s="92" t="s">
        <v>1724</v>
      </c>
      <c r="AL190" s="84" t="b">
        <v>0</v>
      </c>
      <c r="AM190" s="84">
        <v>3</v>
      </c>
      <c r="AN190" s="92" t="s">
        <v>1505</v>
      </c>
      <c r="AO190" s="84" t="s">
        <v>1763</v>
      </c>
      <c r="AP190" s="84" t="b">
        <v>0</v>
      </c>
      <c r="AQ190" s="92" t="s">
        <v>1505</v>
      </c>
      <c r="AR190" s="84" t="s">
        <v>179</v>
      </c>
      <c r="AS190" s="84">
        <v>0</v>
      </c>
      <c r="AT190" s="84">
        <v>0</v>
      </c>
      <c r="AU190" s="84"/>
      <c r="AV190" s="84"/>
      <c r="AW190" s="84"/>
      <c r="AX190" s="84"/>
      <c r="AY190" s="84"/>
      <c r="AZ190" s="84"/>
      <c r="BA190" s="84"/>
      <c r="BB190" s="84"/>
    </row>
    <row r="191" spans="1:54" x14ac:dyDescent="0.2">
      <c r="A191" s="69" t="s">
        <v>363</v>
      </c>
      <c r="B191" s="69" t="s">
        <v>478</v>
      </c>
      <c r="C191" s="70"/>
      <c r="D191" s="71"/>
      <c r="E191" s="72"/>
      <c r="F191" s="73"/>
      <c r="G191" s="70"/>
      <c r="H191" s="74"/>
      <c r="I191" s="75"/>
      <c r="J191" s="75"/>
      <c r="K191" s="36"/>
      <c r="L191" s="82"/>
      <c r="M191" s="82"/>
      <c r="N191" s="77"/>
      <c r="O191" s="84" t="s">
        <v>501</v>
      </c>
      <c r="P191" s="86">
        <v>44023.189687500002</v>
      </c>
      <c r="Q191" s="84" t="s">
        <v>656</v>
      </c>
      <c r="R191" s="84"/>
      <c r="S191" s="84"/>
      <c r="T191" s="84" t="s">
        <v>781</v>
      </c>
      <c r="U191" s="87" t="str">
        <f>HYPERLINK("https://pbs.twimg.com/media/EcnmPT0U0AAPD7a.jpg")</f>
        <v>https://pbs.twimg.com/media/EcnmPT0U0AAPD7a.jpg</v>
      </c>
      <c r="V191" s="87" t="str">
        <f>HYPERLINK("https://pbs.twimg.com/media/EcnmPT0U0AAPD7a.jpg")</f>
        <v>https://pbs.twimg.com/media/EcnmPT0U0AAPD7a.jpg</v>
      </c>
      <c r="W191" s="86">
        <v>44023.189687500002</v>
      </c>
      <c r="X191" s="90">
        <v>44023</v>
      </c>
      <c r="Y191" s="92" t="s">
        <v>1086</v>
      </c>
      <c r="Z191" s="87" t="str">
        <f>HYPERLINK("https://twitter.com/mino_0916/status/1281808725620125698")</f>
        <v>https://twitter.com/mino_0916/status/1281808725620125698</v>
      </c>
      <c r="AA191" s="84"/>
      <c r="AB191" s="84"/>
      <c r="AC191" s="92" t="s">
        <v>1505</v>
      </c>
      <c r="AD191" s="84"/>
      <c r="AE191" s="84" t="b">
        <v>0</v>
      </c>
      <c r="AF191" s="84">
        <v>12</v>
      </c>
      <c r="AG191" s="92" t="s">
        <v>1724</v>
      </c>
      <c r="AH191" s="84" t="b">
        <v>0</v>
      </c>
      <c r="AI191" s="84" t="s">
        <v>1750</v>
      </c>
      <c r="AJ191" s="84"/>
      <c r="AK191" s="92" t="s">
        <v>1724</v>
      </c>
      <c r="AL191" s="84" t="b">
        <v>0</v>
      </c>
      <c r="AM191" s="84">
        <v>3</v>
      </c>
      <c r="AN191" s="92" t="s">
        <v>1724</v>
      </c>
      <c r="AO191" s="84" t="s">
        <v>1763</v>
      </c>
      <c r="AP191" s="84" t="b">
        <v>0</v>
      </c>
      <c r="AQ191" s="92" t="s">
        <v>1505</v>
      </c>
      <c r="AR191" s="84" t="s">
        <v>179</v>
      </c>
      <c r="AS191" s="84">
        <v>0</v>
      </c>
      <c r="AT191" s="84">
        <v>0</v>
      </c>
      <c r="AU191" s="84"/>
      <c r="AV191" s="84"/>
      <c r="AW191" s="84"/>
      <c r="AX191" s="84"/>
      <c r="AY191" s="84"/>
      <c r="AZ191" s="84"/>
      <c r="BA191" s="84"/>
      <c r="BB191" s="84"/>
    </row>
    <row r="192" spans="1:54" x14ac:dyDescent="0.2">
      <c r="A192" s="69" t="s">
        <v>363</v>
      </c>
      <c r="B192" s="69" t="s">
        <v>479</v>
      </c>
      <c r="C192" s="70"/>
      <c r="D192" s="71"/>
      <c r="E192" s="72"/>
      <c r="F192" s="73"/>
      <c r="G192" s="70"/>
      <c r="H192" s="74"/>
      <c r="I192" s="75"/>
      <c r="J192" s="75"/>
      <c r="K192" s="36"/>
      <c r="L192" s="82"/>
      <c r="M192" s="82"/>
      <c r="N192" s="77"/>
      <c r="O192" s="84" t="s">
        <v>501</v>
      </c>
      <c r="P192" s="86">
        <v>44023.189687500002</v>
      </c>
      <c r="Q192" s="84" t="s">
        <v>656</v>
      </c>
      <c r="R192" s="84"/>
      <c r="S192" s="84"/>
      <c r="T192" s="84" t="s">
        <v>781</v>
      </c>
      <c r="U192" s="87" t="str">
        <f>HYPERLINK("https://pbs.twimg.com/media/EcnmPT0U0AAPD7a.jpg")</f>
        <v>https://pbs.twimg.com/media/EcnmPT0U0AAPD7a.jpg</v>
      </c>
      <c r="V192" s="87" t="str">
        <f>HYPERLINK("https://pbs.twimg.com/media/EcnmPT0U0AAPD7a.jpg")</f>
        <v>https://pbs.twimg.com/media/EcnmPT0U0AAPD7a.jpg</v>
      </c>
      <c r="W192" s="86">
        <v>44023.189687500002</v>
      </c>
      <c r="X192" s="90">
        <v>44023</v>
      </c>
      <c r="Y192" s="92" t="s">
        <v>1086</v>
      </c>
      <c r="Z192" s="87" t="str">
        <f>HYPERLINK("https://twitter.com/mino_0916/status/1281808725620125698")</f>
        <v>https://twitter.com/mino_0916/status/1281808725620125698</v>
      </c>
      <c r="AA192" s="84"/>
      <c r="AB192" s="84"/>
      <c r="AC192" s="92" t="s">
        <v>1505</v>
      </c>
      <c r="AD192" s="84"/>
      <c r="AE192" s="84" t="b">
        <v>0</v>
      </c>
      <c r="AF192" s="84">
        <v>12</v>
      </c>
      <c r="AG192" s="92" t="s">
        <v>1724</v>
      </c>
      <c r="AH192" s="84" t="b">
        <v>0</v>
      </c>
      <c r="AI192" s="84" t="s">
        <v>1750</v>
      </c>
      <c r="AJ192" s="84"/>
      <c r="AK192" s="92" t="s">
        <v>1724</v>
      </c>
      <c r="AL192" s="84" t="b">
        <v>0</v>
      </c>
      <c r="AM192" s="84">
        <v>3</v>
      </c>
      <c r="AN192" s="92" t="s">
        <v>1724</v>
      </c>
      <c r="AO192" s="84" t="s">
        <v>1763</v>
      </c>
      <c r="AP192" s="84" t="b">
        <v>0</v>
      </c>
      <c r="AQ192" s="92" t="s">
        <v>1505</v>
      </c>
      <c r="AR192" s="84" t="s">
        <v>179</v>
      </c>
      <c r="AS192" s="84">
        <v>0</v>
      </c>
      <c r="AT192" s="84">
        <v>0</v>
      </c>
      <c r="AU192" s="84"/>
      <c r="AV192" s="84"/>
      <c r="AW192" s="84"/>
      <c r="AX192" s="84"/>
      <c r="AY192" s="84"/>
      <c r="AZ192" s="84"/>
      <c r="BA192" s="84"/>
      <c r="BB192" s="84"/>
    </row>
    <row r="193" spans="1:54" x14ac:dyDescent="0.2">
      <c r="A193" s="69" t="s">
        <v>350</v>
      </c>
      <c r="B193" s="69" t="s">
        <v>359</v>
      </c>
      <c r="C193" s="70"/>
      <c r="D193" s="71"/>
      <c r="E193" s="72"/>
      <c r="F193" s="73"/>
      <c r="G193" s="70"/>
      <c r="H193" s="74"/>
      <c r="I193" s="75"/>
      <c r="J193" s="75"/>
      <c r="K193" s="36"/>
      <c r="L193" s="82"/>
      <c r="M193" s="82"/>
      <c r="N193" s="77"/>
      <c r="O193" s="84" t="s">
        <v>500</v>
      </c>
      <c r="P193" s="86">
        <v>44023.13385416667</v>
      </c>
      <c r="Q193" s="84" t="s">
        <v>644</v>
      </c>
      <c r="R193" s="84"/>
      <c r="S193" s="84"/>
      <c r="T193" s="84" t="s">
        <v>781</v>
      </c>
      <c r="U193" s="87" t="str">
        <f>HYPERLINK("https://pbs.twimg.com/media/EcmhL-lU0AEU6uL.jpg")</f>
        <v>https://pbs.twimg.com/media/EcmhL-lU0AEU6uL.jpg</v>
      </c>
      <c r="V193" s="87" t="str">
        <f>HYPERLINK("https://pbs.twimg.com/media/EcmhL-lU0AEU6uL.jpg")</f>
        <v>https://pbs.twimg.com/media/EcmhL-lU0AEU6uL.jpg</v>
      </c>
      <c r="W193" s="86">
        <v>44023.13385416667</v>
      </c>
      <c r="X193" s="90">
        <v>44023</v>
      </c>
      <c r="Y193" s="92" t="s">
        <v>1057</v>
      </c>
      <c r="Z193" s="87" t="str">
        <f>HYPERLINK("https://twitter.com/laki_global/status/1281788490137526272")</f>
        <v>https://twitter.com/laki_global/status/1281788490137526272</v>
      </c>
      <c r="AA193" s="84"/>
      <c r="AB193" s="84"/>
      <c r="AC193" s="92" t="s">
        <v>1476</v>
      </c>
      <c r="AD193" s="84"/>
      <c r="AE193" s="84" t="b">
        <v>0</v>
      </c>
      <c r="AF193" s="84">
        <v>0</v>
      </c>
      <c r="AG193" s="92" t="s">
        <v>1724</v>
      </c>
      <c r="AH193" s="84" t="b">
        <v>0</v>
      </c>
      <c r="AI193" s="84" t="s">
        <v>1750</v>
      </c>
      <c r="AJ193" s="84"/>
      <c r="AK193" s="92" t="s">
        <v>1724</v>
      </c>
      <c r="AL193" s="84" t="b">
        <v>0</v>
      </c>
      <c r="AM193" s="84">
        <v>6</v>
      </c>
      <c r="AN193" s="92" t="s">
        <v>1500</v>
      </c>
      <c r="AO193" s="84" t="s">
        <v>1763</v>
      </c>
      <c r="AP193" s="84" t="b">
        <v>0</v>
      </c>
      <c r="AQ193" s="92" t="s">
        <v>1500</v>
      </c>
      <c r="AR193" s="84" t="s">
        <v>179</v>
      </c>
      <c r="AS193" s="84">
        <v>0</v>
      </c>
      <c r="AT193" s="84">
        <v>0</v>
      </c>
      <c r="AU193" s="84"/>
      <c r="AV193" s="84"/>
      <c r="AW193" s="84"/>
      <c r="AX193" s="84"/>
      <c r="AY193" s="84"/>
      <c r="AZ193" s="84"/>
      <c r="BA193" s="84"/>
      <c r="BB193" s="84"/>
    </row>
    <row r="194" spans="1:54" x14ac:dyDescent="0.2">
      <c r="A194" s="69" t="s">
        <v>349</v>
      </c>
      <c r="B194" s="69" t="s">
        <v>349</v>
      </c>
      <c r="C194" s="70"/>
      <c r="D194" s="71"/>
      <c r="E194" s="72"/>
      <c r="F194" s="73"/>
      <c r="G194" s="70"/>
      <c r="H194" s="74"/>
      <c r="I194" s="75"/>
      <c r="J194" s="75"/>
      <c r="K194" s="36"/>
      <c r="L194" s="82"/>
      <c r="M194" s="82"/>
      <c r="N194" s="77"/>
      <c r="O194" s="84" t="s">
        <v>179</v>
      </c>
      <c r="P194" s="86">
        <v>44023.1175</v>
      </c>
      <c r="Q194" s="84" t="s">
        <v>655</v>
      </c>
      <c r="R194" s="84"/>
      <c r="S194" s="84"/>
      <c r="T194" s="84" t="s">
        <v>833</v>
      </c>
      <c r="U194" s="87" t="str">
        <f>HYPERLINK("https://pbs.twimg.com/media/EcnOcbZUMAA7vgY.jpg")</f>
        <v>https://pbs.twimg.com/media/EcnOcbZUMAA7vgY.jpg</v>
      </c>
      <c r="V194" s="87" t="str">
        <f>HYPERLINK("https://pbs.twimg.com/media/EcnOcbZUMAA7vgY.jpg")</f>
        <v>https://pbs.twimg.com/media/EcnOcbZUMAA7vgY.jpg</v>
      </c>
      <c r="W194" s="86">
        <v>44023.1175</v>
      </c>
      <c r="X194" s="90">
        <v>44023</v>
      </c>
      <c r="Y194" s="92" t="s">
        <v>1056</v>
      </c>
      <c r="Z194" s="87" t="str">
        <f>HYPERLINK("https://twitter.com/kraschelinus/status/1281782566551339008")</f>
        <v>https://twitter.com/kraschelinus/status/1281782566551339008</v>
      </c>
      <c r="AA194" s="84"/>
      <c r="AB194" s="84"/>
      <c r="AC194" s="92" t="s">
        <v>1475</v>
      </c>
      <c r="AD194" s="84"/>
      <c r="AE194" s="84" t="b">
        <v>0</v>
      </c>
      <c r="AF194" s="84">
        <v>3</v>
      </c>
      <c r="AG194" s="92" t="s">
        <v>1724</v>
      </c>
      <c r="AH194" s="84" t="b">
        <v>0</v>
      </c>
      <c r="AI194" s="84" t="s">
        <v>1750</v>
      </c>
      <c r="AJ194" s="84"/>
      <c r="AK194" s="92" t="s">
        <v>1724</v>
      </c>
      <c r="AL194" s="84" t="b">
        <v>0</v>
      </c>
      <c r="AM194" s="84">
        <v>0</v>
      </c>
      <c r="AN194" s="92" t="s">
        <v>1724</v>
      </c>
      <c r="AO194" s="84" t="s">
        <v>1766</v>
      </c>
      <c r="AP194" s="84" t="b">
        <v>0</v>
      </c>
      <c r="AQ194" s="92" t="s">
        <v>1475</v>
      </c>
      <c r="AR194" s="84" t="s">
        <v>179</v>
      </c>
      <c r="AS194" s="84">
        <v>0</v>
      </c>
      <c r="AT194" s="84">
        <v>0</v>
      </c>
      <c r="AU194" s="84"/>
      <c r="AV194" s="84"/>
      <c r="AW194" s="84"/>
      <c r="AX194" s="84"/>
      <c r="AY194" s="84"/>
      <c r="AZ194" s="84"/>
      <c r="BA194" s="84"/>
      <c r="BB194" s="84"/>
    </row>
    <row r="195" spans="1:54" x14ac:dyDescent="0.2">
      <c r="A195" s="69" t="s">
        <v>348</v>
      </c>
      <c r="B195" s="69" t="s">
        <v>359</v>
      </c>
      <c r="C195" s="70"/>
      <c r="D195" s="71"/>
      <c r="E195" s="72"/>
      <c r="F195" s="73"/>
      <c r="G195" s="70"/>
      <c r="H195" s="74"/>
      <c r="I195" s="75"/>
      <c r="J195" s="75"/>
      <c r="K195" s="36"/>
      <c r="L195" s="82"/>
      <c r="M195" s="82"/>
      <c r="N195" s="77"/>
      <c r="O195" s="84" t="s">
        <v>500</v>
      </c>
      <c r="P195" s="86">
        <v>44023.112719907411</v>
      </c>
      <c r="Q195" s="84" t="s">
        <v>644</v>
      </c>
      <c r="R195" s="84"/>
      <c r="S195" s="84"/>
      <c r="T195" s="84" t="s">
        <v>781</v>
      </c>
      <c r="U195" s="87" t="str">
        <f>HYPERLINK("https://pbs.twimg.com/media/EcmhL-lU0AEU6uL.jpg")</f>
        <v>https://pbs.twimg.com/media/EcmhL-lU0AEU6uL.jpg</v>
      </c>
      <c r="V195" s="87" t="str">
        <f>HYPERLINK("https://pbs.twimg.com/media/EcmhL-lU0AEU6uL.jpg")</f>
        <v>https://pbs.twimg.com/media/EcmhL-lU0AEU6uL.jpg</v>
      </c>
      <c r="W195" s="86">
        <v>44023.112719907411</v>
      </c>
      <c r="X195" s="90">
        <v>44023</v>
      </c>
      <c r="Y195" s="92" t="s">
        <v>1054</v>
      </c>
      <c r="Z195" s="87" t="str">
        <f>HYPERLINK("https://twitter.com/ultimasnorlax/status/1281780833083248640")</f>
        <v>https://twitter.com/ultimasnorlax/status/1281780833083248640</v>
      </c>
      <c r="AA195" s="84"/>
      <c r="AB195" s="84"/>
      <c r="AC195" s="92" t="s">
        <v>1473</v>
      </c>
      <c r="AD195" s="84"/>
      <c r="AE195" s="84" t="b">
        <v>0</v>
      </c>
      <c r="AF195" s="84">
        <v>0</v>
      </c>
      <c r="AG195" s="92" t="s">
        <v>1724</v>
      </c>
      <c r="AH195" s="84" t="b">
        <v>0</v>
      </c>
      <c r="AI195" s="84" t="s">
        <v>1750</v>
      </c>
      <c r="AJ195" s="84"/>
      <c r="AK195" s="92" t="s">
        <v>1724</v>
      </c>
      <c r="AL195" s="84" t="b">
        <v>0</v>
      </c>
      <c r="AM195" s="84">
        <v>6</v>
      </c>
      <c r="AN195" s="92" t="s">
        <v>1500</v>
      </c>
      <c r="AO195" s="84" t="s">
        <v>1763</v>
      </c>
      <c r="AP195" s="84" t="b">
        <v>0</v>
      </c>
      <c r="AQ195" s="92" t="s">
        <v>1500</v>
      </c>
      <c r="AR195" s="84" t="s">
        <v>179</v>
      </c>
      <c r="AS195" s="84">
        <v>0</v>
      </c>
      <c r="AT195" s="84">
        <v>0</v>
      </c>
      <c r="AU195" s="84"/>
      <c r="AV195" s="84"/>
      <c r="AW195" s="84"/>
      <c r="AX195" s="84"/>
      <c r="AY195" s="84"/>
      <c r="AZ195" s="84"/>
      <c r="BA195" s="84"/>
      <c r="BB195" s="84"/>
    </row>
    <row r="196" spans="1:54" x14ac:dyDescent="0.2">
      <c r="A196" s="69" t="s">
        <v>347</v>
      </c>
      <c r="B196" s="69" t="s">
        <v>347</v>
      </c>
      <c r="C196" s="70"/>
      <c r="D196" s="71"/>
      <c r="E196" s="72"/>
      <c r="F196" s="73"/>
      <c r="G196" s="70"/>
      <c r="H196" s="74"/>
      <c r="I196" s="75"/>
      <c r="J196" s="75"/>
      <c r="K196" s="36"/>
      <c r="L196" s="82"/>
      <c r="M196" s="82"/>
      <c r="N196" s="77"/>
      <c r="O196" s="84" t="s">
        <v>179</v>
      </c>
      <c r="P196" s="86">
        <v>44023.110844907409</v>
      </c>
      <c r="Q196" s="84" t="s">
        <v>650</v>
      </c>
      <c r="R196" s="84"/>
      <c r="S196" s="84"/>
      <c r="T196" s="84" t="s">
        <v>781</v>
      </c>
      <c r="U196" s="87" t="str">
        <f>HYPERLINK("https://pbs.twimg.com/media/EcnMQNwU8AAD4K5.jpg")</f>
        <v>https://pbs.twimg.com/media/EcnMQNwU8AAD4K5.jpg</v>
      </c>
      <c r="V196" s="87" t="str">
        <f>HYPERLINK("https://pbs.twimg.com/media/EcnMQNwU8AAD4K5.jpg")</f>
        <v>https://pbs.twimg.com/media/EcnMQNwU8AAD4K5.jpg</v>
      </c>
      <c r="W196" s="86">
        <v>44023.110844907409</v>
      </c>
      <c r="X196" s="90">
        <v>44023</v>
      </c>
      <c r="Y196" s="92" t="s">
        <v>1050</v>
      </c>
      <c r="Z196" s="87" t="str">
        <f>HYPERLINK("https://twitter.com/enlhyperi/status/1281780151374639105")</f>
        <v>https://twitter.com/enlhyperi/status/1281780151374639105</v>
      </c>
      <c r="AA196" s="84"/>
      <c r="AB196" s="84"/>
      <c r="AC196" s="92" t="s">
        <v>1469</v>
      </c>
      <c r="AD196" s="84"/>
      <c r="AE196" s="84" t="b">
        <v>0</v>
      </c>
      <c r="AF196" s="84">
        <v>2</v>
      </c>
      <c r="AG196" s="92" t="s">
        <v>1724</v>
      </c>
      <c r="AH196" s="84" t="b">
        <v>0</v>
      </c>
      <c r="AI196" s="84" t="s">
        <v>1751</v>
      </c>
      <c r="AJ196" s="84"/>
      <c r="AK196" s="92" t="s">
        <v>1724</v>
      </c>
      <c r="AL196" s="84" t="b">
        <v>0</v>
      </c>
      <c r="AM196" s="84">
        <v>0</v>
      </c>
      <c r="AN196" s="92" t="s">
        <v>1724</v>
      </c>
      <c r="AO196" s="84" t="s">
        <v>1764</v>
      </c>
      <c r="AP196" s="84" t="b">
        <v>0</v>
      </c>
      <c r="AQ196" s="92" t="s">
        <v>1469</v>
      </c>
      <c r="AR196" s="84" t="s">
        <v>179</v>
      </c>
      <c r="AS196" s="84">
        <v>0</v>
      </c>
      <c r="AT196" s="84">
        <v>0</v>
      </c>
      <c r="AU196" s="84"/>
      <c r="AV196" s="84"/>
      <c r="AW196" s="84"/>
      <c r="AX196" s="84"/>
      <c r="AY196" s="84"/>
      <c r="AZ196" s="84"/>
      <c r="BA196" s="84"/>
      <c r="BB196" s="84"/>
    </row>
    <row r="197" spans="1:54" x14ac:dyDescent="0.2">
      <c r="A197" s="69" t="s">
        <v>346</v>
      </c>
      <c r="B197" s="69" t="s">
        <v>359</v>
      </c>
      <c r="C197" s="70"/>
      <c r="D197" s="71"/>
      <c r="E197" s="72"/>
      <c r="F197" s="73"/>
      <c r="G197" s="70"/>
      <c r="H197" s="74"/>
      <c r="I197" s="75"/>
      <c r="J197" s="75"/>
      <c r="K197" s="36"/>
      <c r="L197" s="82"/>
      <c r="M197" s="82"/>
      <c r="N197" s="77"/>
      <c r="O197" s="84" t="s">
        <v>500</v>
      </c>
      <c r="P197" s="86">
        <v>44023.096967592595</v>
      </c>
      <c r="Q197" s="84" t="s">
        <v>644</v>
      </c>
      <c r="R197" s="84"/>
      <c r="S197" s="84"/>
      <c r="T197" s="84" t="s">
        <v>781</v>
      </c>
      <c r="U197" s="87" t="str">
        <f>HYPERLINK("https://pbs.twimg.com/media/EcmhL-lU0AEU6uL.jpg")</f>
        <v>https://pbs.twimg.com/media/EcmhL-lU0AEU6uL.jpg</v>
      </c>
      <c r="V197" s="87" t="str">
        <f>HYPERLINK("https://pbs.twimg.com/media/EcmhL-lU0AEU6uL.jpg")</f>
        <v>https://pbs.twimg.com/media/EcmhL-lU0AEU6uL.jpg</v>
      </c>
      <c r="W197" s="86">
        <v>44023.096967592595</v>
      </c>
      <c r="X197" s="90">
        <v>44023</v>
      </c>
      <c r="Y197" s="92" t="s">
        <v>1049</v>
      </c>
      <c r="Z197" s="87" t="str">
        <f>HYPERLINK("https://twitter.com/10r_p/status/1281775126241923072")</f>
        <v>https://twitter.com/10r_p/status/1281775126241923072</v>
      </c>
      <c r="AA197" s="84"/>
      <c r="AB197" s="84"/>
      <c r="AC197" s="92" t="s">
        <v>1468</v>
      </c>
      <c r="AD197" s="84"/>
      <c r="AE197" s="84" t="b">
        <v>0</v>
      </c>
      <c r="AF197" s="84">
        <v>0</v>
      </c>
      <c r="AG197" s="92" t="s">
        <v>1724</v>
      </c>
      <c r="AH197" s="84" t="b">
        <v>0</v>
      </c>
      <c r="AI197" s="84" t="s">
        <v>1750</v>
      </c>
      <c r="AJ197" s="84"/>
      <c r="AK197" s="92" t="s">
        <v>1724</v>
      </c>
      <c r="AL197" s="84" t="b">
        <v>0</v>
      </c>
      <c r="AM197" s="84">
        <v>6</v>
      </c>
      <c r="AN197" s="92" t="s">
        <v>1500</v>
      </c>
      <c r="AO197" s="84" t="s">
        <v>1763</v>
      </c>
      <c r="AP197" s="84" t="b">
        <v>0</v>
      </c>
      <c r="AQ197" s="92" t="s">
        <v>1500</v>
      </c>
      <c r="AR197" s="84" t="s">
        <v>179</v>
      </c>
      <c r="AS197" s="84">
        <v>0</v>
      </c>
      <c r="AT197" s="84">
        <v>0</v>
      </c>
      <c r="AU197" s="84"/>
      <c r="AV197" s="84"/>
      <c r="AW197" s="84"/>
      <c r="AX197" s="84"/>
      <c r="AY197" s="84"/>
      <c r="AZ197" s="84"/>
      <c r="BA197" s="84"/>
      <c r="BB197" s="84"/>
    </row>
    <row r="198" spans="1:54" x14ac:dyDescent="0.2">
      <c r="A198" s="69" t="s">
        <v>345</v>
      </c>
      <c r="B198" s="69" t="s">
        <v>408</v>
      </c>
      <c r="C198" s="70"/>
      <c r="D198" s="71"/>
      <c r="E198" s="72"/>
      <c r="F198" s="73"/>
      <c r="G198" s="70"/>
      <c r="H198" s="74"/>
      <c r="I198" s="75"/>
      <c r="J198" s="75"/>
      <c r="K198" s="36"/>
      <c r="L198" s="82"/>
      <c r="M198" s="82"/>
      <c r="N198" s="77"/>
      <c r="O198" s="84" t="s">
        <v>500</v>
      </c>
      <c r="P198" s="86">
        <v>44023.07849537037</v>
      </c>
      <c r="Q198" s="84" t="s">
        <v>643</v>
      </c>
      <c r="R198" s="87" t="str">
        <f>HYPERLINK("https://twitter.com/sinxsan/status/1281602779480338433")</f>
        <v>https://twitter.com/sinxsan/status/1281602779480338433</v>
      </c>
      <c r="S198" s="84" t="s">
        <v>755</v>
      </c>
      <c r="T198" s="84" t="s">
        <v>832</v>
      </c>
      <c r="U198" s="84"/>
      <c r="V198" s="87" t="str">
        <f>HYPERLINK("http://pbs.twimg.com/profile_images/1189002588705869825/PIDXX_3M_normal.png")</f>
        <v>http://pbs.twimg.com/profile_images/1189002588705869825/PIDXX_3M_normal.png</v>
      </c>
      <c r="W198" s="86">
        <v>44023.07849537037</v>
      </c>
      <c r="X198" s="90">
        <v>44023</v>
      </c>
      <c r="Y198" s="92" t="s">
        <v>1048</v>
      </c>
      <c r="Z198" s="87" t="str">
        <f>HYPERLINK("https://twitter.com/gorotsukineko/status/1281768431528755201")</f>
        <v>https://twitter.com/gorotsukineko/status/1281768431528755201</v>
      </c>
      <c r="AA198" s="84"/>
      <c r="AB198" s="84"/>
      <c r="AC198" s="92" t="s">
        <v>1467</v>
      </c>
      <c r="AD198" s="84"/>
      <c r="AE198" s="84" t="b">
        <v>0</v>
      </c>
      <c r="AF198" s="84">
        <v>0</v>
      </c>
      <c r="AG198" s="92" t="s">
        <v>1724</v>
      </c>
      <c r="AH198" s="84" t="b">
        <v>1</v>
      </c>
      <c r="AI198" s="84" t="s">
        <v>1750</v>
      </c>
      <c r="AJ198" s="84"/>
      <c r="AK198" s="92" t="s">
        <v>1595</v>
      </c>
      <c r="AL198" s="84" t="b">
        <v>0</v>
      </c>
      <c r="AM198" s="84">
        <v>2</v>
      </c>
      <c r="AN198" s="92" t="s">
        <v>1577</v>
      </c>
      <c r="AO198" s="84" t="s">
        <v>1781</v>
      </c>
      <c r="AP198" s="84" t="b">
        <v>0</v>
      </c>
      <c r="AQ198" s="92" t="s">
        <v>1577</v>
      </c>
      <c r="AR198" s="84" t="s">
        <v>179</v>
      </c>
      <c r="AS198" s="84">
        <v>0</v>
      </c>
      <c r="AT198" s="84">
        <v>0</v>
      </c>
      <c r="AU198" s="84"/>
      <c r="AV198" s="84"/>
      <c r="AW198" s="84"/>
      <c r="AX198" s="84"/>
      <c r="AY198" s="84"/>
      <c r="AZ198" s="84"/>
      <c r="BA198" s="84"/>
      <c r="BB198" s="84"/>
    </row>
    <row r="199" spans="1:54" x14ac:dyDescent="0.2">
      <c r="A199" s="69" t="s">
        <v>349</v>
      </c>
      <c r="B199" s="69" t="s">
        <v>349</v>
      </c>
      <c r="C199" s="70"/>
      <c r="D199" s="71"/>
      <c r="E199" s="72"/>
      <c r="F199" s="73"/>
      <c r="G199" s="70"/>
      <c r="H199" s="74"/>
      <c r="I199" s="75"/>
      <c r="J199" s="75"/>
      <c r="K199" s="36"/>
      <c r="L199" s="82"/>
      <c r="M199" s="82"/>
      <c r="N199" s="77"/>
      <c r="O199" s="84" t="s">
        <v>179</v>
      </c>
      <c r="P199" s="86">
        <v>44023.010567129626</v>
      </c>
      <c r="Q199" s="84" t="s">
        <v>654</v>
      </c>
      <c r="R199" s="84"/>
      <c r="S199" s="84"/>
      <c r="T199" s="84" t="s">
        <v>784</v>
      </c>
      <c r="U199" s="87" t="str">
        <f>HYPERLINK("https://pbs.twimg.com/media/EcmrLLCUwAEXOJy.jpg")</f>
        <v>https://pbs.twimg.com/media/EcmrLLCUwAEXOJy.jpg</v>
      </c>
      <c r="V199" s="87" t="str">
        <f>HYPERLINK("https://pbs.twimg.com/media/EcmrLLCUwAEXOJy.jpg")</f>
        <v>https://pbs.twimg.com/media/EcmrLLCUwAEXOJy.jpg</v>
      </c>
      <c r="W199" s="86">
        <v>44023.010567129626</v>
      </c>
      <c r="X199" s="90">
        <v>44023</v>
      </c>
      <c r="Y199" s="92" t="s">
        <v>1055</v>
      </c>
      <c r="Z199" s="87" t="str">
        <f>HYPERLINK("https://twitter.com/kraschelinus/status/1281743815355686914")</f>
        <v>https://twitter.com/kraschelinus/status/1281743815355686914</v>
      </c>
      <c r="AA199" s="84"/>
      <c r="AB199" s="84"/>
      <c r="AC199" s="92" t="s">
        <v>1474</v>
      </c>
      <c r="AD199" s="84"/>
      <c r="AE199" s="84" t="b">
        <v>0</v>
      </c>
      <c r="AF199" s="84">
        <v>3</v>
      </c>
      <c r="AG199" s="92" t="s">
        <v>1724</v>
      </c>
      <c r="AH199" s="84" t="b">
        <v>0</v>
      </c>
      <c r="AI199" s="84" t="s">
        <v>1750</v>
      </c>
      <c r="AJ199" s="84"/>
      <c r="AK199" s="92" t="s">
        <v>1724</v>
      </c>
      <c r="AL199" s="84" t="b">
        <v>0</v>
      </c>
      <c r="AM199" s="84">
        <v>0</v>
      </c>
      <c r="AN199" s="92" t="s">
        <v>1724</v>
      </c>
      <c r="AO199" s="84" t="s">
        <v>1766</v>
      </c>
      <c r="AP199" s="84" t="b">
        <v>0</v>
      </c>
      <c r="AQ199" s="92" t="s">
        <v>1474</v>
      </c>
      <c r="AR199" s="84" t="s">
        <v>179</v>
      </c>
      <c r="AS199" s="84">
        <v>0</v>
      </c>
      <c r="AT199" s="84">
        <v>0</v>
      </c>
      <c r="AU199" s="84"/>
      <c r="AV199" s="84"/>
      <c r="AW199" s="84"/>
      <c r="AX199" s="84"/>
      <c r="AY199" s="84"/>
      <c r="AZ199" s="84"/>
      <c r="BA199" s="84"/>
      <c r="BB199" s="84"/>
    </row>
    <row r="200" spans="1:54" x14ac:dyDescent="0.2">
      <c r="A200" s="69" t="s">
        <v>343</v>
      </c>
      <c r="B200" s="69" t="s">
        <v>359</v>
      </c>
      <c r="C200" s="70"/>
      <c r="D200" s="71"/>
      <c r="E200" s="72"/>
      <c r="F200" s="73"/>
      <c r="G200" s="70"/>
      <c r="H200" s="74"/>
      <c r="I200" s="75"/>
      <c r="J200" s="75"/>
      <c r="K200" s="36"/>
      <c r="L200" s="82"/>
      <c r="M200" s="82"/>
      <c r="N200" s="77"/>
      <c r="O200" s="84" t="s">
        <v>500</v>
      </c>
      <c r="P200" s="86">
        <v>44023.003125000003</v>
      </c>
      <c r="Q200" s="84" t="s">
        <v>644</v>
      </c>
      <c r="R200" s="84"/>
      <c r="S200" s="84"/>
      <c r="T200" s="84" t="s">
        <v>781</v>
      </c>
      <c r="U200" s="87" t="str">
        <f>HYPERLINK("https://pbs.twimg.com/media/EcmhL-lU0AEU6uL.jpg")</f>
        <v>https://pbs.twimg.com/media/EcmhL-lU0AEU6uL.jpg</v>
      </c>
      <c r="V200" s="87" t="str">
        <f>HYPERLINK("https://pbs.twimg.com/media/EcmhL-lU0AEU6uL.jpg")</f>
        <v>https://pbs.twimg.com/media/EcmhL-lU0AEU6uL.jpg</v>
      </c>
      <c r="W200" s="86">
        <v>44023.003125000003</v>
      </c>
      <c r="X200" s="90">
        <v>44023</v>
      </c>
      <c r="Y200" s="92" t="s">
        <v>1041</v>
      </c>
      <c r="Z200" s="87" t="str">
        <f>HYPERLINK("https://twitter.com/psoiko2/status/1281741116090380288")</f>
        <v>https://twitter.com/psoiko2/status/1281741116090380288</v>
      </c>
      <c r="AA200" s="84"/>
      <c r="AB200" s="84"/>
      <c r="AC200" s="92" t="s">
        <v>1460</v>
      </c>
      <c r="AD200" s="84"/>
      <c r="AE200" s="84" t="b">
        <v>0</v>
      </c>
      <c r="AF200" s="84">
        <v>0</v>
      </c>
      <c r="AG200" s="92" t="s">
        <v>1724</v>
      </c>
      <c r="AH200" s="84" t="b">
        <v>0</v>
      </c>
      <c r="AI200" s="84" t="s">
        <v>1750</v>
      </c>
      <c r="AJ200" s="84"/>
      <c r="AK200" s="92" t="s">
        <v>1724</v>
      </c>
      <c r="AL200" s="84" t="b">
        <v>0</v>
      </c>
      <c r="AM200" s="84">
        <v>6</v>
      </c>
      <c r="AN200" s="92" t="s">
        <v>1500</v>
      </c>
      <c r="AO200" s="84" t="s">
        <v>1764</v>
      </c>
      <c r="AP200" s="84" t="b">
        <v>0</v>
      </c>
      <c r="AQ200" s="92" t="s">
        <v>1500</v>
      </c>
      <c r="AR200" s="84" t="s">
        <v>179</v>
      </c>
      <c r="AS200" s="84">
        <v>0</v>
      </c>
      <c r="AT200" s="84">
        <v>0</v>
      </c>
      <c r="AU200" s="84"/>
      <c r="AV200" s="84"/>
      <c r="AW200" s="84"/>
      <c r="AX200" s="84"/>
      <c r="AY200" s="84"/>
      <c r="AZ200" s="84"/>
      <c r="BA200" s="84"/>
      <c r="BB200" s="84"/>
    </row>
    <row r="201" spans="1:54" x14ac:dyDescent="0.2">
      <c r="A201" s="69" t="s">
        <v>342</v>
      </c>
      <c r="B201" s="69" t="s">
        <v>342</v>
      </c>
      <c r="C201" s="70"/>
      <c r="D201" s="71"/>
      <c r="E201" s="72"/>
      <c r="F201" s="73"/>
      <c r="G201" s="70"/>
      <c r="H201" s="74"/>
      <c r="I201" s="75"/>
      <c r="J201" s="75"/>
      <c r="K201" s="36"/>
      <c r="L201" s="82"/>
      <c r="M201" s="82"/>
      <c r="N201" s="77"/>
      <c r="O201" s="84" t="s">
        <v>179</v>
      </c>
      <c r="P201" s="86">
        <v>44023.003055555557</v>
      </c>
      <c r="Q201" s="84" t="s">
        <v>642</v>
      </c>
      <c r="R201" s="87" t="str">
        <f>HYPERLINK("https://twitter.com/ma_bo_tantan/status/1281449791055032320")</f>
        <v>https://twitter.com/ma_bo_tantan/status/1281449791055032320</v>
      </c>
      <c r="S201" s="84" t="s">
        <v>755</v>
      </c>
      <c r="T201" s="84" t="s">
        <v>781</v>
      </c>
      <c r="U201" s="84"/>
      <c r="V201" s="87" t="str">
        <f>HYPERLINK("http://pbs.twimg.com/profile_images/1263298683879096320/6gwVz81Q_normal.jpg")</f>
        <v>http://pbs.twimg.com/profile_images/1263298683879096320/6gwVz81Q_normal.jpg</v>
      </c>
      <c r="W201" s="86">
        <v>44023.003055555557</v>
      </c>
      <c r="X201" s="90">
        <v>44023</v>
      </c>
      <c r="Y201" s="92" t="s">
        <v>1039</v>
      </c>
      <c r="Z201" s="87" t="str">
        <f>HYPERLINK("https://twitter.com/mameojaru/status/1281741090081525760")</f>
        <v>https://twitter.com/mameojaru/status/1281741090081525760</v>
      </c>
      <c r="AA201" s="84"/>
      <c r="AB201" s="84"/>
      <c r="AC201" s="92" t="s">
        <v>1458</v>
      </c>
      <c r="AD201" s="84"/>
      <c r="AE201" s="84" t="b">
        <v>0</v>
      </c>
      <c r="AF201" s="84">
        <v>2</v>
      </c>
      <c r="AG201" s="92" t="s">
        <v>1724</v>
      </c>
      <c r="AH201" s="84" t="b">
        <v>1</v>
      </c>
      <c r="AI201" s="84" t="s">
        <v>1750</v>
      </c>
      <c r="AJ201" s="84"/>
      <c r="AK201" s="92" t="s">
        <v>1762</v>
      </c>
      <c r="AL201" s="84" t="b">
        <v>0</v>
      </c>
      <c r="AM201" s="84">
        <v>0</v>
      </c>
      <c r="AN201" s="92" t="s">
        <v>1724</v>
      </c>
      <c r="AO201" s="84" t="s">
        <v>1763</v>
      </c>
      <c r="AP201" s="84" t="b">
        <v>0</v>
      </c>
      <c r="AQ201" s="92" t="s">
        <v>1458</v>
      </c>
      <c r="AR201" s="84" t="s">
        <v>179</v>
      </c>
      <c r="AS201" s="84">
        <v>0</v>
      </c>
      <c r="AT201" s="84">
        <v>0</v>
      </c>
      <c r="AU201" s="84"/>
      <c r="AV201" s="84"/>
      <c r="AW201" s="84"/>
      <c r="AX201" s="84"/>
      <c r="AY201" s="84"/>
      <c r="AZ201" s="84"/>
      <c r="BA201" s="84"/>
      <c r="BB201" s="84"/>
    </row>
    <row r="202" spans="1:54" x14ac:dyDescent="0.2">
      <c r="A202" s="69" t="s">
        <v>351</v>
      </c>
      <c r="B202" s="69" t="s">
        <v>359</v>
      </c>
      <c r="C202" s="70"/>
      <c r="D202" s="71"/>
      <c r="E202" s="72"/>
      <c r="F202" s="73"/>
      <c r="G202" s="70"/>
      <c r="H202" s="74"/>
      <c r="I202" s="75"/>
      <c r="J202" s="75"/>
      <c r="K202" s="36"/>
      <c r="L202" s="82"/>
      <c r="M202" s="82"/>
      <c r="N202" s="77"/>
      <c r="O202" s="84" t="s">
        <v>500</v>
      </c>
      <c r="P202" s="86">
        <v>44022.981550925928</v>
      </c>
      <c r="Q202" s="84" t="s">
        <v>644</v>
      </c>
      <c r="R202" s="84"/>
      <c r="S202" s="84"/>
      <c r="T202" s="84" t="s">
        <v>781</v>
      </c>
      <c r="U202" s="87" t="str">
        <f>HYPERLINK("https://pbs.twimg.com/media/EcmhL-lU0AEU6uL.jpg")</f>
        <v>https://pbs.twimg.com/media/EcmhL-lU0AEU6uL.jpg</v>
      </c>
      <c r="V202" s="87" t="str">
        <f>HYPERLINK("https://pbs.twimg.com/media/EcmhL-lU0AEU6uL.jpg")</f>
        <v>https://pbs.twimg.com/media/EcmhL-lU0AEU6uL.jpg</v>
      </c>
      <c r="W202" s="86">
        <v>44022.981550925928</v>
      </c>
      <c r="X202" s="90">
        <v>44022</v>
      </c>
      <c r="Y202" s="92" t="s">
        <v>1058</v>
      </c>
      <c r="Z202" s="87" t="str">
        <f>HYPERLINK("https://twitter.com/yo828_/status/1281733296729124864")</f>
        <v>https://twitter.com/yo828_/status/1281733296729124864</v>
      </c>
      <c r="AA202" s="84"/>
      <c r="AB202" s="84"/>
      <c r="AC202" s="92" t="s">
        <v>1477</v>
      </c>
      <c r="AD202" s="84"/>
      <c r="AE202" s="84" t="b">
        <v>0</v>
      </c>
      <c r="AF202" s="84">
        <v>0</v>
      </c>
      <c r="AG202" s="92" t="s">
        <v>1724</v>
      </c>
      <c r="AH202" s="84" t="b">
        <v>0</v>
      </c>
      <c r="AI202" s="84" t="s">
        <v>1750</v>
      </c>
      <c r="AJ202" s="84"/>
      <c r="AK202" s="92" t="s">
        <v>1724</v>
      </c>
      <c r="AL202" s="84" t="b">
        <v>0</v>
      </c>
      <c r="AM202" s="84">
        <v>6</v>
      </c>
      <c r="AN202" s="92" t="s">
        <v>1500</v>
      </c>
      <c r="AO202" s="84" t="s">
        <v>1763</v>
      </c>
      <c r="AP202" s="84" t="b">
        <v>0</v>
      </c>
      <c r="AQ202" s="92" t="s">
        <v>1500</v>
      </c>
      <c r="AR202" s="84" t="s">
        <v>179</v>
      </c>
      <c r="AS202" s="84">
        <v>0</v>
      </c>
      <c r="AT202" s="84">
        <v>0</v>
      </c>
      <c r="AU202" s="84"/>
      <c r="AV202" s="84"/>
      <c r="AW202" s="84"/>
      <c r="AX202" s="84"/>
      <c r="AY202" s="84"/>
      <c r="AZ202" s="84"/>
      <c r="BA202" s="84"/>
      <c r="BB202" s="84"/>
    </row>
    <row r="203" spans="1:54" x14ac:dyDescent="0.2">
      <c r="A203" s="69" t="s">
        <v>359</v>
      </c>
      <c r="B203" s="69" t="s">
        <v>359</v>
      </c>
      <c r="C203" s="70"/>
      <c r="D203" s="71"/>
      <c r="E203" s="72"/>
      <c r="F203" s="73"/>
      <c r="G203" s="70"/>
      <c r="H203" s="74"/>
      <c r="I203" s="75"/>
      <c r="J203" s="75"/>
      <c r="K203" s="36"/>
      <c r="L203" s="82"/>
      <c r="M203" s="82"/>
      <c r="N203" s="77"/>
      <c r="O203" s="84" t="s">
        <v>179</v>
      </c>
      <c r="P203" s="86">
        <v>44022.980208333334</v>
      </c>
      <c r="Q203" s="84" t="s">
        <v>644</v>
      </c>
      <c r="R203" s="84"/>
      <c r="S203" s="84"/>
      <c r="T203" s="84" t="s">
        <v>781</v>
      </c>
      <c r="U203" s="87" t="str">
        <f>HYPERLINK("https://pbs.twimg.com/media/EcmhL-lU0AEU6uL.jpg")</f>
        <v>https://pbs.twimg.com/media/EcmhL-lU0AEU6uL.jpg</v>
      </c>
      <c r="V203" s="87" t="str">
        <f>HYPERLINK("https://pbs.twimg.com/media/EcmhL-lU0AEU6uL.jpg")</f>
        <v>https://pbs.twimg.com/media/EcmhL-lU0AEU6uL.jpg</v>
      </c>
      <c r="W203" s="86">
        <v>44022.980208333334</v>
      </c>
      <c r="X203" s="90">
        <v>44022</v>
      </c>
      <c r="Y203" s="92" t="s">
        <v>1081</v>
      </c>
      <c r="Z203" s="87" t="str">
        <f>HYPERLINK("https://twitter.com/hiho_3tafe/status/1281732813499166720")</f>
        <v>https://twitter.com/hiho_3tafe/status/1281732813499166720</v>
      </c>
      <c r="AA203" s="84"/>
      <c r="AB203" s="84"/>
      <c r="AC203" s="92" t="s">
        <v>1500</v>
      </c>
      <c r="AD203" s="84"/>
      <c r="AE203" s="84" t="b">
        <v>0</v>
      </c>
      <c r="AF203" s="84">
        <v>16</v>
      </c>
      <c r="AG203" s="92" t="s">
        <v>1724</v>
      </c>
      <c r="AH203" s="84" t="b">
        <v>0</v>
      </c>
      <c r="AI203" s="84" t="s">
        <v>1750</v>
      </c>
      <c r="AJ203" s="84"/>
      <c r="AK203" s="92" t="s">
        <v>1724</v>
      </c>
      <c r="AL203" s="84" t="b">
        <v>0</v>
      </c>
      <c r="AM203" s="84">
        <v>6</v>
      </c>
      <c r="AN203" s="92" t="s">
        <v>1724</v>
      </c>
      <c r="AO203" s="84" t="s">
        <v>1763</v>
      </c>
      <c r="AP203" s="84" t="b">
        <v>0</v>
      </c>
      <c r="AQ203" s="92" t="s">
        <v>1500</v>
      </c>
      <c r="AR203" s="84" t="s">
        <v>179</v>
      </c>
      <c r="AS203" s="84">
        <v>0</v>
      </c>
      <c r="AT203" s="84">
        <v>0</v>
      </c>
      <c r="AU203" s="84"/>
      <c r="AV203" s="84"/>
      <c r="AW203" s="84"/>
      <c r="AX203" s="84"/>
      <c r="AY203" s="84"/>
      <c r="AZ203" s="84"/>
      <c r="BA203" s="84"/>
      <c r="BB203" s="84"/>
    </row>
    <row r="204" spans="1:54" x14ac:dyDescent="0.2">
      <c r="A204" s="69" t="s">
        <v>343</v>
      </c>
      <c r="B204" s="69" t="s">
        <v>408</v>
      </c>
      <c r="C204" s="70"/>
      <c r="D204" s="71"/>
      <c r="E204" s="72"/>
      <c r="F204" s="73"/>
      <c r="G204" s="70"/>
      <c r="H204" s="74"/>
      <c r="I204" s="75"/>
      <c r="J204" s="75"/>
      <c r="K204" s="36"/>
      <c r="L204" s="82"/>
      <c r="M204" s="82"/>
      <c r="N204" s="77"/>
      <c r="O204" s="84" t="s">
        <v>500</v>
      </c>
      <c r="P204" s="86">
        <v>44022.974652777775</v>
      </c>
      <c r="Q204" s="84" t="s">
        <v>643</v>
      </c>
      <c r="R204" s="84"/>
      <c r="S204" s="84"/>
      <c r="T204" s="84" t="s">
        <v>832</v>
      </c>
      <c r="U204" s="84"/>
      <c r="V204" s="87" t="str">
        <f>HYPERLINK("http://pbs.twimg.com/profile_images/1223964270687219716/ZdpkvVux_normal.jpg")</f>
        <v>http://pbs.twimg.com/profile_images/1223964270687219716/ZdpkvVux_normal.jpg</v>
      </c>
      <c r="W204" s="86">
        <v>44022.974652777775</v>
      </c>
      <c r="X204" s="90">
        <v>44022</v>
      </c>
      <c r="Y204" s="92" t="s">
        <v>1040</v>
      </c>
      <c r="Z204" s="87" t="str">
        <f>HYPERLINK("https://twitter.com/psoiko2/status/1281730797435678720")</f>
        <v>https://twitter.com/psoiko2/status/1281730797435678720</v>
      </c>
      <c r="AA204" s="84"/>
      <c r="AB204" s="84"/>
      <c r="AC204" s="92" t="s">
        <v>1459</v>
      </c>
      <c r="AD204" s="84"/>
      <c r="AE204" s="84" t="b">
        <v>0</v>
      </c>
      <c r="AF204" s="84">
        <v>0</v>
      </c>
      <c r="AG204" s="92" t="s">
        <v>1724</v>
      </c>
      <c r="AH204" s="84" t="b">
        <v>1</v>
      </c>
      <c r="AI204" s="84" t="s">
        <v>1750</v>
      </c>
      <c r="AJ204" s="84"/>
      <c r="AK204" s="92" t="s">
        <v>1595</v>
      </c>
      <c r="AL204" s="84" t="b">
        <v>0</v>
      </c>
      <c r="AM204" s="84">
        <v>2</v>
      </c>
      <c r="AN204" s="92" t="s">
        <v>1577</v>
      </c>
      <c r="AO204" s="84" t="s">
        <v>1764</v>
      </c>
      <c r="AP204" s="84" t="b">
        <v>0</v>
      </c>
      <c r="AQ204" s="92" t="s">
        <v>1577</v>
      </c>
      <c r="AR204" s="84" t="s">
        <v>179</v>
      </c>
      <c r="AS204" s="84">
        <v>0</v>
      </c>
      <c r="AT204" s="84">
        <v>0</v>
      </c>
      <c r="AU204" s="84"/>
      <c r="AV204" s="84"/>
      <c r="AW204" s="84"/>
      <c r="AX204" s="84"/>
      <c r="AY204" s="84"/>
      <c r="AZ204" s="84"/>
      <c r="BA204" s="84"/>
      <c r="BB204" s="84"/>
    </row>
    <row r="205" spans="1:54" x14ac:dyDescent="0.2">
      <c r="A205" s="69" t="s">
        <v>340</v>
      </c>
      <c r="B205" s="69" t="s">
        <v>339</v>
      </c>
      <c r="C205" s="70"/>
      <c r="D205" s="71"/>
      <c r="E205" s="72"/>
      <c r="F205" s="73"/>
      <c r="G205" s="70"/>
      <c r="H205" s="74"/>
      <c r="I205" s="75"/>
      <c r="J205" s="75"/>
      <c r="K205" s="36"/>
      <c r="L205" s="82"/>
      <c r="M205" s="82"/>
      <c r="N205" s="77"/>
      <c r="O205" s="84" t="s">
        <v>500</v>
      </c>
      <c r="P205" s="86">
        <v>44022.969027777777</v>
      </c>
      <c r="Q205" s="84" t="s">
        <v>637</v>
      </c>
      <c r="R205" s="84"/>
      <c r="S205" s="84"/>
      <c r="T205" s="84" t="s">
        <v>829</v>
      </c>
      <c r="U205" s="84"/>
      <c r="V205" s="87" t="str">
        <f>HYPERLINK("http://pbs.twimg.com/profile_images/1184218900680101888/nK7eLWCv_normal.jpg")</f>
        <v>http://pbs.twimg.com/profile_images/1184218900680101888/nK7eLWCv_normal.jpg</v>
      </c>
      <c r="W205" s="86">
        <v>44022.969027777777</v>
      </c>
      <c r="X205" s="90">
        <v>44022</v>
      </c>
      <c r="Y205" s="92" t="s">
        <v>1033</v>
      </c>
      <c r="Z205" s="87" t="str">
        <f>HYPERLINK("https://twitter.com/ko92792/status/1281728760769908736")</f>
        <v>https://twitter.com/ko92792/status/1281728760769908736</v>
      </c>
      <c r="AA205" s="84"/>
      <c r="AB205" s="84"/>
      <c r="AC205" s="92" t="s">
        <v>1452</v>
      </c>
      <c r="AD205" s="84"/>
      <c r="AE205" s="84" t="b">
        <v>0</v>
      </c>
      <c r="AF205" s="84">
        <v>0</v>
      </c>
      <c r="AG205" s="92" t="s">
        <v>1724</v>
      </c>
      <c r="AH205" s="84" t="b">
        <v>0</v>
      </c>
      <c r="AI205" s="84" t="s">
        <v>1751</v>
      </c>
      <c r="AJ205" s="84"/>
      <c r="AK205" s="92" t="s">
        <v>1724</v>
      </c>
      <c r="AL205" s="84" t="b">
        <v>0</v>
      </c>
      <c r="AM205" s="84">
        <v>4</v>
      </c>
      <c r="AN205" s="92" t="s">
        <v>1451</v>
      </c>
      <c r="AO205" s="84" t="s">
        <v>1768</v>
      </c>
      <c r="AP205" s="84" t="b">
        <v>0</v>
      </c>
      <c r="AQ205" s="92" t="s">
        <v>1451</v>
      </c>
      <c r="AR205" s="84" t="s">
        <v>179</v>
      </c>
      <c r="AS205" s="84">
        <v>0</v>
      </c>
      <c r="AT205" s="84">
        <v>0</v>
      </c>
      <c r="AU205" s="84"/>
      <c r="AV205" s="84"/>
      <c r="AW205" s="84"/>
      <c r="AX205" s="84"/>
      <c r="AY205" s="84"/>
      <c r="AZ205" s="84"/>
      <c r="BA205" s="84"/>
      <c r="BB205" s="84"/>
    </row>
    <row r="206" spans="1:54" x14ac:dyDescent="0.2">
      <c r="A206" s="69" t="s">
        <v>338</v>
      </c>
      <c r="B206" s="69" t="s">
        <v>339</v>
      </c>
      <c r="C206" s="70"/>
      <c r="D206" s="71"/>
      <c r="E206" s="72"/>
      <c r="F206" s="73"/>
      <c r="G206" s="70"/>
      <c r="H206" s="74"/>
      <c r="I206" s="75"/>
      <c r="J206" s="75"/>
      <c r="K206" s="36"/>
      <c r="L206" s="82"/>
      <c r="M206" s="82"/>
      <c r="N206" s="77"/>
      <c r="O206" s="84" t="s">
        <v>500</v>
      </c>
      <c r="P206" s="86">
        <v>44022.967476851853</v>
      </c>
      <c r="Q206" s="84" t="s">
        <v>637</v>
      </c>
      <c r="R206" s="84"/>
      <c r="S206" s="84"/>
      <c r="T206" s="84" t="s">
        <v>829</v>
      </c>
      <c r="U206" s="84"/>
      <c r="V206" s="87" t="str">
        <f>HYPERLINK("http://pbs.twimg.com/profile_images/1279533056324325376/RUthcDUy_normal.jpg")</f>
        <v>http://pbs.twimg.com/profile_images/1279533056324325376/RUthcDUy_normal.jpg</v>
      </c>
      <c r="W206" s="86">
        <v>44022.967476851853</v>
      </c>
      <c r="X206" s="90">
        <v>44022</v>
      </c>
      <c r="Y206" s="92" t="s">
        <v>1031</v>
      </c>
      <c r="Z206" s="87" t="str">
        <f>HYPERLINK("https://twitter.com/veraangie11/status/1281728198456164352")</f>
        <v>https://twitter.com/veraangie11/status/1281728198456164352</v>
      </c>
      <c r="AA206" s="84"/>
      <c r="AB206" s="84"/>
      <c r="AC206" s="92" t="s">
        <v>1450</v>
      </c>
      <c r="AD206" s="84"/>
      <c r="AE206" s="84" t="b">
        <v>0</v>
      </c>
      <c r="AF206" s="84">
        <v>0</v>
      </c>
      <c r="AG206" s="92" t="s">
        <v>1724</v>
      </c>
      <c r="AH206" s="84" t="b">
        <v>0</v>
      </c>
      <c r="AI206" s="84" t="s">
        <v>1751</v>
      </c>
      <c r="AJ206" s="84"/>
      <c r="AK206" s="92" t="s">
        <v>1724</v>
      </c>
      <c r="AL206" s="84" t="b">
        <v>0</v>
      </c>
      <c r="AM206" s="84">
        <v>4</v>
      </c>
      <c r="AN206" s="92" t="s">
        <v>1451</v>
      </c>
      <c r="AO206" s="84" t="s">
        <v>1763</v>
      </c>
      <c r="AP206" s="84" t="b">
        <v>0</v>
      </c>
      <c r="AQ206" s="92" t="s">
        <v>1451</v>
      </c>
      <c r="AR206" s="84" t="s">
        <v>179</v>
      </c>
      <c r="AS206" s="84">
        <v>0</v>
      </c>
      <c r="AT206" s="84">
        <v>0</v>
      </c>
      <c r="AU206" s="84"/>
      <c r="AV206" s="84"/>
      <c r="AW206" s="84"/>
      <c r="AX206" s="84"/>
      <c r="AY206" s="84"/>
      <c r="AZ206" s="84"/>
      <c r="BA206" s="84"/>
      <c r="BB206" s="84"/>
    </row>
    <row r="207" spans="1:54" x14ac:dyDescent="0.2">
      <c r="A207" s="69" t="s">
        <v>337</v>
      </c>
      <c r="B207" s="69" t="s">
        <v>339</v>
      </c>
      <c r="C207" s="70"/>
      <c r="D207" s="71"/>
      <c r="E207" s="72"/>
      <c r="F207" s="73"/>
      <c r="G207" s="70"/>
      <c r="H207" s="74"/>
      <c r="I207" s="75"/>
      <c r="J207" s="75"/>
      <c r="K207" s="36"/>
      <c r="L207" s="82"/>
      <c r="M207" s="82"/>
      <c r="N207" s="77"/>
      <c r="O207" s="84" t="s">
        <v>500</v>
      </c>
      <c r="P207" s="86">
        <v>44022.963900462964</v>
      </c>
      <c r="Q207" s="84" t="s">
        <v>637</v>
      </c>
      <c r="R207" s="84"/>
      <c r="S207" s="84"/>
      <c r="T207" s="84" t="s">
        <v>829</v>
      </c>
      <c r="U207" s="84"/>
      <c r="V207" s="87" t="str">
        <f>HYPERLINK("http://pbs.twimg.com/profile_images/751895291423371264/PHVc1-Xu_normal.jpg")</f>
        <v>http://pbs.twimg.com/profile_images/751895291423371264/PHVc1-Xu_normal.jpg</v>
      </c>
      <c r="W207" s="86">
        <v>44022.963900462964</v>
      </c>
      <c r="X207" s="90">
        <v>44022</v>
      </c>
      <c r="Y207" s="92" t="s">
        <v>1030</v>
      </c>
      <c r="Z207" s="87" t="str">
        <f>HYPERLINK("https://twitter.com/cecki/status/1281726903691468801")</f>
        <v>https://twitter.com/cecki/status/1281726903691468801</v>
      </c>
      <c r="AA207" s="84"/>
      <c r="AB207" s="84"/>
      <c r="AC207" s="92" t="s">
        <v>1449</v>
      </c>
      <c r="AD207" s="84"/>
      <c r="AE207" s="84" t="b">
        <v>0</v>
      </c>
      <c r="AF207" s="84">
        <v>0</v>
      </c>
      <c r="AG207" s="92" t="s">
        <v>1724</v>
      </c>
      <c r="AH207" s="84" t="b">
        <v>0</v>
      </c>
      <c r="AI207" s="84" t="s">
        <v>1751</v>
      </c>
      <c r="AJ207" s="84"/>
      <c r="AK207" s="92" t="s">
        <v>1724</v>
      </c>
      <c r="AL207" s="84" t="b">
        <v>0</v>
      </c>
      <c r="AM207" s="84">
        <v>4</v>
      </c>
      <c r="AN207" s="92" t="s">
        <v>1451</v>
      </c>
      <c r="AO207" s="84" t="s">
        <v>1764</v>
      </c>
      <c r="AP207" s="84" t="b">
        <v>0</v>
      </c>
      <c r="AQ207" s="92" t="s">
        <v>1451</v>
      </c>
      <c r="AR207" s="84" t="s">
        <v>179</v>
      </c>
      <c r="AS207" s="84">
        <v>0</v>
      </c>
      <c r="AT207" s="84">
        <v>0</v>
      </c>
      <c r="AU207" s="84"/>
      <c r="AV207" s="84"/>
      <c r="AW207" s="84"/>
      <c r="AX207" s="84"/>
      <c r="AY207" s="84"/>
      <c r="AZ207" s="84"/>
      <c r="BA207" s="84"/>
      <c r="BB207" s="84"/>
    </row>
    <row r="208" spans="1:54" x14ac:dyDescent="0.2">
      <c r="A208" s="69" t="s">
        <v>336</v>
      </c>
      <c r="B208" s="69" t="s">
        <v>339</v>
      </c>
      <c r="C208" s="70"/>
      <c r="D208" s="71"/>
      <c r="E208" s="72"/>
      <c r="F208" s="73"/>
      <c r="G208" s="70"/>
      <c r="H208" s="74"/>
      <c r="I208" s="75"/>
      <c r="J208" s="75"/>
      <c r="K208" s="36"/>
      <c r="L208" s="82"/>
      <c r="M208" s="82"/>
      <c r="N208" s="77"/>
      <c r="O208" s="84" t="s">
        <v>500</v>
      </c>
      <c r="P208" s="86">
        <v>44022.945428240739</v>
      </c>
      <c r="Q208" s="84" t="s">
        <v>637</v>
      </c>
      <c r="R208" s="84"/>
      <c r="S208" s="84"/>
      <c r="T208" s="84" t="s">
        <v>829</v>
      </c>
      <c r="U208" s="84"/>
      <c r="V208" s="87" t="str">
        <f>HYPERLINK("http://pbs.twimg.com/profile_images/1080088302500413440/qNfBycCv_normal.jpg")</f>
        <v>http://pbs.twimg.com/profile_images/1080088302500413440/qNfBycCv_normal.jpg</v>
      </c>
      <c r="W208" s="86">
        <v>44022.945428240739</v>
      </c>
      <c r="X208" s="90">
        <v>44022</v>
      </c>
      <c r="Y208" s="92" t="s">
        <v>1029</v>
      </c>
      <c r="Z208" s="87" t="str">
        <f>HYPERLINK("https://twitter.com/horseshort/status/1281720209133441024")</f>
        <v>https://twitter.com/horseshort/status/1281720209133441024</v>
      </c>
      <c r="AA208" s="84"/>
      <c r="AB208" s="84"/>
      <c r="AC208" s="92" t="s">
        <v>1448</v>
      </c>
      <c r="AD208" s="84"/>
      <c r="AE208" s="84" t="b">
        <v>0</v>
      </c>
      <c r="AF208" s="84">
        <v>0</v>
      </c>
      <c r="AG208" s="92" t="s">
        <v>1724</v>
      </c>
      <c r="AH208" s="84" t="b">
        <v>0</v>
      </c>
      <c r="AI208" s="84" t="s">
        <v>1751</v>
      </c>
      <c r="AJ208" s="84"/>
      <c r="AK208" s="92" t="s">
        <v>1724</v>
      </c>
      <c r="AL208" s="84" t="b">
        <v>0</v>
      </c>
      <c r="AM208" s="84">
        <v>4</v>
      </c>
      <c r="AN208" s="92" t="s">
        <v>1451</v>
      </c>
      <c r="AO208" s="84" t="s">
        <v>1763</v>
      </c>
      <c r="AP208" s="84" t="b">
        <v>0</v>
      </c>
      <c r="AQ208" s="92" t="s">
        <v>1451</v>
      </c>
      <c r="AR208" s="84" t="s">
        <v>179</v>
      </c>
      <c r="AS208" s="84">
        <v>0</v>
      </c>
      <c r="AT208" s="84">
        <v>0</v>
      </c>
      <c r="AU208" s="84"/>
      <c r="AV208" s="84"/>
      <c r="AW208" s="84"/>
      <c r="AX208" s="84"/>
      <c r="AY208" s="84"/>
      <c r="AZ208" s="84"/>
      <c r="BA208" s="84"/>
      <c r="BB208" s="84"/>
    </row>
    <row r="209" spans="1:54" x14ac:dyDescent="0.2">
      <c r="A209" s="69" t="s">
        <v>408</v>
      </c>
      <c r="B209" s="69" t="s">
        <v>408</v>
      </c>
      <c r="C209" s="70"/>
      <c r="D209" s="71"/>
      <c r="E209" s="72"/>
      <c r="F209" s="73"/>
      <c r="G209" s="70"/>
      <c r="H209" s="74"/>
      <c r="I209" s="75"/>
      <c r="J209" s="75"/>
      <c r="K209" s="36"/>
      <c r="L209" s="82"/>
      <c r="M209" s="82"/>
      <c r="N209" s="77"/>
      <c r="O209" s="84" t="s">
        <v>179</v>
      </c>
      <c r="P209" s="86">
        <v>44022.942777777775</v>
      </c>
      <c r="Q209" s="84" t="s">
        <v>643</v>
      </c>
      <c r="R209" s="87" t="str">
        <f>HYPERLINK("https://twitter.com/sinxsan/status/1281602779480338433")</f>
        <v>https://twitter.com/sinxsan/status/1281602779480338433</v>
      </c>
      <c r="S209" s="84" t="s">
        <v>755</v>
      </c>
      <c r="T209" s="84" t="s">
        <v>832</v>
      </c>
      <c r="U209" s="84"/>
      <c r="V209" s="87" t="str">
        <f>HYPERLINK("http://pbs.twimg.com/profile_images/1262859678121263104/DecomVhL_normal.jpg")</f>
        <v>http://pbs.twimg.com/profile_images/1262859678121263104/DecomVhL_normal.jpg</v>
      </c>
      <c r="W209" s="86">
        <v>44022.942777777775</v>
      </c>
      <c r="X209" s="90">
        <v>44022</v>
      </c>
      <c r="Y209" s="92" t="s">
        <v>1156</v>
      </c>
      <c r="Z209" s="87" t="str">
        <f>HYPERLINK("https://twitter.com/hirocos2/status/1281719248121782272")</f>
        <v>https://twitter.com/hirocos2/status/1281719248121782272</v>
      </c>
      <c r="AA209" s="84"/>
      <c r="AB209" s="84"/>
      <c r="AC209" s="92" t="s">
        <v>1577</v>
      </c>
      <c r="AD209" s="84"/>
      <c r="AE209" s="84" t="b">
        <v>0</v>
      </c>
      <c r="AF209" s="84">
        <v>7</v>
      </c>
      <c r="AG209" s="92" t="s">
        <v>1724</v>
      </c>
      <c r="AH209" s="84" t="b">
        <v>1</v>
      </c>
      <c r="AI209" s="84" t="s">
        <v>1750</v>
      </c>
      <c r="AJ209" s="84"/>
      <c r="AK209" s="92" t="s">
        <v>1595</v>
      </c>
      <c r="AL209" s="84" t="b">
        <v>0</v>
      </c>
      <c r="AM209" s="84">
        <v>2</v>
      </c>
      <c r="AN209" s="92" t="s">
        <v>1724</v>
      </c>
      <c r="AO209" s="84" t="s">
        <v>1763</v>
      </c>
      <c r="AP209" s="84" t="b">
        <v>0</v>
      </c>
      <c r="AQ209" s="92" t="s">
        <v>1577</v>
      </c>
      <c r="AR209" s="84" t="s">
        <v>179</v>
      </c>
      <c r="AS209" s="84">
        <v>0</v>
      </c>
      <c r="AT209" s="84">
        <v>0</v>
      </c>
      <c r="AU209" s="84"/>
      <c r="AV209" s="84"/>
      <c r="AW209" s="84"/>
      <c r="AX209" s="84"/>
      <c r="AY209" s="84"/>
      <c r="AZ209" s="84"/>
      <c r="BA209" s="84"/>
      <c r="BB209" s="84"/>
    </row>
    <row r="210" spans="1:54" x14ac:dyDescent="0.2">
      <c r="A210" s="69" t="s">
        <v>339</v>
      </c>
      <c r="B210" s="69" t="s">
        <v>339</v>
      </c>
      <c r="C210" s="70"/>
      <c r="D210" s="71"/>
      <c r="E210" s="72"/>
      <c r="F210" s="73"/>
      <c r="G210" s="70"/>
      <c r="H210" s="74"/>
      <c r="I210" s="75"/>
      <c r="J210" s="75"/>
      <c r="K210" s="36"/>
      <c r="L210" s="82"/>
      <c r="M210" s="82"/>
      <c r="N210" s="77"/>
      <c r="O210" s="84" t="s">
        <v>179</v>
      </c>
      <c r="P210" s="86">
        <v>44022.942037037035</v>
      </c>
      <c r="Q210" s="84" t="s">
        <v>637</v>
      </c>
      <c r="R210" s="84"/>
      <c r="S210" s="84"/>
      <c r="T210" s="84" t="s">
        <v>830</v>
      </c>
      <c r="U210" s="87" t="str">
        <f>HYPERLINK("https://pbs.twimg.com/media/EcmUe6LXkAEoO0A.jpg")</f>
        <v>https://pbs.twimg.com/media/EcmUe6LXkAEoO0A.jpg</v>
      </c>
      <c r="V210" s="87" t="str">
        <f>HYPERLINK("https://pbs.twimg.com/media/EcmUe6LXkAEoO0A.jpg")</f>
        <v>https://pbs.twimg.com/media/EcmUe6LXkAEoO0A.jpg</v>
      </c>
      <c r="W210" s="86">
        <v>44022.942037037035</v>
      </c>
      <c r="X210" s="90">
        <v>44022</v>
      </c>
      <c r="Y210" s="92" t="s">
        <v>1032</v>
      </c>
      <c r="Z210" s="87" t="str">
        <f>HYPERLINK("https://twitter.com/cyrusreportgma1/status/1281718979090939905")</f>
        <v>https://twitter.com/cyrusreportgma1/status/1281718979090939905</v>
      </c>
      <c r="AA210" s="84"/>
      <c r="AB210" s="84"/>
      <c r="AC210" s="92" t="s">
        <v>1451</v>
      </c>
      <c r="AD210" s="84"/>
      <c r="AE210" s="84" t="b">
        <v>0</v>
      </c>
      <c r="AF210" s="84">
        <v>4</v>
      </c>
      <c r="AG210" s="92" t="s">
        <v>1724</v>
      </c>
      <c r="AH210" s="84" t="b">
        <v>0</v>
      </c>
      <c r="AI210" s="84" t="s">
        <v>1751</v>
      </c>
      <c r="AJ210" s="84"/>
      <c r="AK210" s="92" t="s">
        <v>1724</v>
      </c>
      <c r="AL210" s="84" t="b">
        <v>0</v>
      </c>
      <c r="AM210" s="84">
        <v>4</v>
      </c>
      <c r="AN210" s="92" t="s">
        <v>1724</v>
      </c>
      <c r="AO210" s="84" t="s">
        <v>1766</v>
      </c>
      <c r="AP210" s="84" t="b">
        <v>0</v>
      </c>
      <c r="AQ210" s="92" t="s">
        <v>1451</v>
      </c>
      <c r="AR210" s="84" t="s">
        <v>179</v>
      </c>
      <c r="AS210" s="84">
        <v>0</v>
      </c>
      <c r="AT210" s="84">
        <v>0</v>
      </c>
      <c r="AU210" s="84"/>
      <c r="AV210" s="84"/>
      <c r="AW210" s="84"/>
      <c r="AX210" s="84"/>
      <c r="AY210" s="84"/>
      <c r="AZ210" s="84"/>
      <c r="BA210" s="84"/>
      <c r="BB210" s="84"/>
    </row>
    <row r="211" spans="1:54" x14ac:dyDescent="0.2">
      <c r="A211" s="69" t="s">
        <v>335</v>
      </c>
      <c r="B211" s="69" t="s">
        <v>335</v>
      </c>
      <c r="C211" s="70"/>
      <c r="D211" s="71"/>
      <c r="E211" s="72"/>
      <c r="F211" s="73"/>
      <c r="G211" s="70"/>
      <c r="H211" s="74"/>
      <c r="I211" s="75"/>
      <c r="J211" s="75"/>
      <c r="K211" s="36"/>
      <c r="L211" s="82"/>
      <c r="M211" s="82"/>
      <c r="N211" s="77"/>
      <c r="O211" s="84" t="s">
        <v>179</v>
      </c>
      <c r="P211" s="86">
        <v>44022.919942129629</v>
      </c>
      <c r="Q211" s="84" t="s">
        <v>636</v>
      </c>
      <c r="R211" s="84"/>
      <c r="S211" s="84"/>
      <c r="T211" s="84" t="s">
        <v>780</v>
      </c>
      <c r="U211" s="87" t="str">
        <f>HYPERLINK("https://pbs.twimg.com/media/EcmNVWZUwAEZ9a9.jpg")</f>
        <v>https://pbs.twimg.com/media/EcmNVWZUwAEZ9a9.jpg</v>
      </c>
      <c r="V211" s="87" t="str">
        <f>HYPERLINK("https://pbs.twimg.com/media/EcmNVWZUwAEZ9a9.jpg")</f>
        <v>https://pbs.twimg.com/media/EcmNVWZUwAEZ9a9.jpg</v>
      </c>
      <c r="W211" s="86">
        <v>44022.919942129629</v>
      </c>
      <c r="X211" s="90">
        <v>44022</v>
      </c>
      <c r="Y211" s="92" t="s">
        <v>1028</v>
      </c>
      <c r="Z211" s="87" t="str">
        <f>HYPERLINK("https://twitter.com/haruhibipapa241/status/1281710971925323776")</f>
        <v>https://twitter.com/haruhibipapa241/status/1281710971925323776</v>
      </c>
      <c r="AA211" s="84"/>
      <c r="AB211" s="84"/>
      <c r="AC211" s="92" t="s">
        <v>1447</v>
      </c>
      <c r="AD211" s="84"/>
      <c r="AE211" s="84" t="b">
        <v>0</v>
      </c>
      <c r="AF211" s="84">
        <v>1</v>
      </c>
      <c r="AG211" s="92" t="s">
        <v>1724</v>
      </c>
      <c r="AH211" s="84" t="b">
        <v>0</v>
      </c>
      <c r="AI211" s="84" t="s">
        <v>1750</v>
      </c>
      <c r="AJ211" s="84"/>
      <c r="AK211" s="92" t="s">
        <v>1724</v>
      </c>
      <c r="AL211" s="84" t="b">
        <v>0</v>
      </c>
      <c r="AM211" s="84">
        <v>0</v>
      </c>
      <c r="AN211" s="92" t="s">
        <v>1724</v>
      </c>
      <c r="AO211" s="84" t="s">
        <v>1764</v>
      </c>
      <c r="AP211" s="84" t="b">
        <v>0</v>
      </c>
      <c r="AQ211" s="92" t="s">
        <v>1447</v>
      </c>
      <c r="AR211" s="84" t="s">
        <v>179</v>
      </c>
      <c r="AS211" s="84">
        <v>0</v>
      </c>
      <c r="AT211" s="84">
        <v>0</v>
      </c>
      <c r="AU211" s="84"/>
      <c r="AV211" s="84"/>
      <c r="AW211" s="84"/>
      <c r="AX211" s="84"/>
      <c r="AY211" s="84"/>
      <c r="AZ211" s="84"/>
      <c r="BA211" s="84"/>
      <c r="BB211" s="84"/>
    </row>
    <row r="212" spans="1:54" x14ac:dyDescent="0.2">
      <c r="A212" s="69" t="s">
        <v>334</v>
      </c>
      <c r="B212" s="69" t="s">
        <v>334</v>
      </c>
      <c r="C212" s="70"/>
      <c r="D212" s="71"/>
      <c r="E212" s="72"/>
      <c r="F212" s="73"/>
      <c r="G212" s="70"/>
      <c r="H212" s="74"/>
      <c r="I212" s="75"/>
      <c r="J212" s="75"/>
      <c r="K212" s="36"/>
      <c r="L212" s="82"/>
      <c r="M212" s="82"/>
      <c r="N212" s="77"/>
      <c r="O212" s="84" t="s">
        <v>179</v>
      </c>
      <c r="P212" s="86">
        <v>44022.899502314816</v>
      </c>
      <c r="Q212" s="84" t="s">
        <v>634</v>
      </c>
      <c r="R212" s="84"/>
      <c r="S212" s="84"/>
      <c r="T212" s="84" t="s">
        <v>781</v>
      </c>
      <c r="U212" s="87" t="str">
        <f>HYPERLINK("https://pbs.twimg.com/media/EcmGmD8XkAQTNr7.jpg")</f>
        <v>https://pbs.twimg.com/media/EcmGmD8XkAQTNr7.jpg</v>
      </c>
      <c r="V212" s="87" t="str">
        <f>HYPERLINK("https://pbs.twimg.com/media/EcmGmD8XkAQTNr7.jpg")</f>
        <v>https://pbs.twimg.com/media/EcmGmD8XkAQTNr7.jpg</v>
      </c>
      <c r="W212" s="86">
        <v>44022.899502314816</v>
      </c>
      <c r="X212" s="90">
        <v>44022</v>
      </c>
      <c r="Y212" s="92" t="s">
        <v>1026</v>
      </c>
      <c r="Z212" s="87" t="str">
        <f>HYPERLINK("https://twitter.com/sandrucci54/status/1281703563987767298")</f>
        <v>https://twitter.com/sandrucci54/status/1281703563987767298</v>
      </c>
      <c r="AA212" s="84"/>
      <c r="AB212" s="84"/>
      <c r="AC212" s="92" t="s">
        <v>1445</v>
      </c>
      <c r="AD212" s="84"/>
      <c r="AE212" s="84" t="b">
        <v>0</v>
      </c>
      <c r="AF212" s="84">
        <v>2</v>
      </c>
      <c r="AG212" s="92" t="s">
        <v>1724</v>
      </c>
      <c r="AH212" s="84" t="b">
        <v>0</v>
      </c>
      <c r="AI212" s="84" t="s">
        <v>1755</v>
      </c>
      <c r="AJ212" s="84"/>
      <c r="AK212" s="92" t="s">
        <v>1724</v>
      </c>
      <c r="AL212" s="84" t="b">
        <v>0</v>
      </c>
      <c r="AM212" s="84">
        <v>0</v>
      </c>
      <c r="AN212" s="92" t="s">
        <v>1724</v>
      </c>
      <c r="AO212" s="84" t="s">
        <v>1763</v>
      </c>
      <c r="AP212" s="84" t="b">
        <v>0</v>
      </c>
      <c r="AQ212" s="92" t="s">
        <v>1445</v>
      </c>
      <c r="AR212" s="84" t="s">
        <v>179</v>
      </c>
      <c r="AS212" s="84">
        <v>0</v>
      </c>
      <c r="AT212" s="84">
        <v>0</v>
      </c>
      <c r="AU212" s="84"/>
      <c r="AV212" s="84"/>
      <c r="AW212" s="84"/>
      <c r="AX212" s="84"/>
      <c r="AY212" s="84"/>
      <c r="AZ212" s="84"/>
      <c r="BA212" s="84"/>
      <c r="BB212" s="84"/>
    </row>
    <row r="213" spans="1:54" x14ac:dyDescent="0.2">
      <c r="A213" s="69" t="s">
        <v>333</v>
      </c>
      <c r="B213" s="69" t="s">
        <v>332</v>
      </c>
      <c r="C213" s="70"/>
      <c r="D213" s="71"/>
      <c r="E213" s="72"/>
      <c r="F213" s="73"/>
      <c r="G213" s="70"/>
      <c r="H213" s="74"/>
      <c r="I213" s="75"/>
      <c r="J213" s="75"/>
      <c r="K213" s="36"/>
      <c r="L213" s="82"/>
      <c r="M213" s="82"/>
      <c r="N213" s="77"/>
      <c r="O213" s="84" t="s">
        <v>500</v>
      </c>
      <c r="P213" s="86">
        <v>44022.838449074072</v>
      </c>
      <c r="Q213" s="84" t="s">
        <v>633</v>
      </c>
      <c r="R213" s="87" t="str">
        <f>HYPERLINK("http://artxfm.com")</f>
        <v>http://artxfm.com</v>
      </c>
      <c r="S213" s="84" t="s">
        <v>774</v>
      </c>
      <c r="T213" s="84"/>
      <c r="U213" s="84"/>
      <c r="V213" s="87" t="str">
        <f>HYPERLINK("http://pbs.twimg.com/profile_images/344513261566681642/f7dca8e508459cc3693fbccbb0aedad3_normal.jpeg")</f>
        <v>http://pbs.twimg.com/profile_images/344513261566681642/f7dca8e508459cc3693fbccbb0aedad3_normal.jpeg</v>
      </c>
      <c r="W213" s="86">
        <v>44022.838449074072</v>
      </c>
      <c r="X213" s="90">
        <v>44022</v>
      </c>
      <c r="Y213" s="92" t="s">
        <v>1025</v>
      </c>
      <c r="Z213" s="87" t="str">
        <f>HYPERLINK("https://twitter.com/solarflightowl/status/1281681438434263048")</f>
        <v>https://twitter.com/solarflightowl/status/1281681438434263048</v>
      </c>
      <c r="AA213" s="84"/>
      <c r="AB213" s="84"/>
      <c r="AC213" s="92" t="s">
        <v>1444</v>
      </c>
      <c r="AD213" s="84"/>
      <c r="AE213" s="84" t="b">
        <v>0</v>
      </c>
      <c r="AF213" s="84">
        <v>0</v>
      </c>
      <c r="AG213" s="92" t="s">
        <v>1724</v>
      </c>
      <c r="AH213" s="84" t="b">
        <v>0</v>
      </c>
      <c r="AI213" s="84" t="s">
        <v>1751</v>
      </c>
      <c r="AJ213" s="84"/>
      <c r="AK213" s="92" t="s">
        <v>1724</v>
      </c>
      <c r="AL213" s="84" t="b">
        <v>0</v>
      </c>
      <c r="AM213" s="84">
        <v>3</v>
      </c>
      <c r="AN213" s="92" t="s">
        <v>1443</v>
      </c>
      <c r="AO213" s="84" t="s">
        <v>1763</v>
      </c>
      <c r="AP213" s="84" t="b">
        <v>0</v>
      </c>
      <c r="AQ213" s="92" t="s">
        <v>1443</v>
      </c>
      <c r="AR213" s="84" t="s">
        <v>179</v>
      </c>
      <c r="AS213" s="84">
        <v>0</v>
      </c>
      <c r="AT213" s="84">
        <v>0</v>
      </c>
      <c r="AU213" s="84"/>
      <c r="AV213" s="84"/>
      <c r="AW213" s="84"/>
      <c r="AX213" s="84"/>
      <c r="AY213" s="84"/>
      <c r="AZ213" s="84"/>
      <c r="BA213" s="84"/>
      <c r="BB213" s="84"/>
    </row>
    <row r="214" spans="1:54" x14ac:dyDescent="0.2">
      <c r="A214" s="69" t="s">
        <v>449</v>
      </c>
      <c r="B214" s="69" t="s">
        <v>449</v>
      </c>
      <c r="C214" s="70"/>
      <c r="D214" s="71"/>
      <c r="E214" s="72"/>
      <c r="F214" s="73"/>
      <c r="G214" s="70"/>
      <c r="H214" s="74"/>
      <c r="I214" s="75"/>
      <c r="J214" s="75"/>
      <c r="K214" s="36"/>
      <c r="L214" s="82"/>
      <c r="M214" s="82"/>
      <c r="N214" s="77"/>
      <c r="O214" s="84" t="s">
        <v>179</v>
      </c>
      <c r="P214" s="86">
        <v>44022.80741898148</v>
      </c>
      <c r="Q214" s="84" t="s">
        <v>683</v>
      </c>
      <c r="R214" s="84"/>
      <c r="S214" s="84"/>
      <c r="T214" s="84" t="s">
        <v>840</v>
      </c>
      <c r="U214" s="87" t="str">
        <f>HYPERLINK("https://pbs.twimg.com/media/EcloPpaX0AAxIy_.png")</f>
        <v>https://pbs.twimg.com/media/EcloPpaX0AAxIy_.png</v>
      </c>
      <c r="V214" s="87" t="str">
        <f>HYPERLINK("https://pbs.twimg.com/media/EcloPpaX0AAxIy_.png")</f>
        <v>https://pbs.twimg.com/media/EcloPpaX0AAxIy_.png</v>
      </c>
      <c r="W214" s="86">
        <v>44022.80741898148</v>
      </c>
      <c r="X214" s="90">
        <v>44022</v>
      </c>
      <c r="Y214" s="92" t="s">
        <v>1250</v>
      </c>
      <c r="Z214" s="87" t="str">
        <f>HYPERLINK("https://twitter.com/littlemissmeta/status/1281670193903742977")</f>
        <v>https://twitter.com/littlemissmeta/status/1281670193903742977</v>
      </c>
      <c r="AA214" s="84"/>
      <c r="AB214" s="84"/>
      <c r="AC214" s="92" t="s">
        <v>1672</v>
      </c>
      <c r="AD214" s="84"/>
      <c r="AE214" s="84" t="b">
        <v>0</v>
      </c>
      <c r="AF214" s="84">
        <v>4</v>
      </c>
      <c r="AG214" s="92" t="s">
        <v>1724</v>
      </c>
      <c r="AH214" s="84" t="b">
        <v>0</v>
      </c>
      <c r="AI214" s="84" t="s">
        <v>1751</v>
      </c>
      <c r="AJ214" s="84"/>
      <c r="AK214" s="92" t="s">
        <v>1724</v>
      </c>
      <c r="AL214" s="84" t="b">
        <v>0</v>
      </c>
      <c r="AM214" s="84">
        <v>3</v>
      </c>
      <c r="AN214" s="92" t="s">
        <v>1724</v>
      </c>
      <c r="AO214" s="84" t="s">
        <v>1766</v>
      </c>
      <c r="AP214" s="84" t="b">
        <v>0</v>
      </c>
      <c r="AQ214" s="92" t="s">
        <v>1672</v>
      </c>
      <c r="AR214" s="84" t="s">
        <v>179</v>
      </c>
      <c r="AS214" s="84">
        <v>0</v>
      </c>
      <c r="AT214" s="84">
        <v>0</v>
      </c>
      <c r="AU214" s="84"/>
      <c r="AV214" s="84"/>
      <c r="AW214" s="84"/>
      <c r="AX214" s="84"/>
      <c r="AY214" s="84"/>
      <c r="AZ214" s="84"/>
      <c r="BA214" s="84"/>
      <c r="BB214" s="84"/>
    </row>
    <row r="215" spans="1:54" x14ac:dyDescent="0.2">
      <c r="A215" s="69" t="s">
        <v>331</v>
      </c>
      <c r="B215" s="69" t="s">
        <v>332</v>
      </c>
      <c r="C215" s="70"/>
      <c r="D215" s="71"/>
      <c r="E215" s="72"/>
      <c r="F215" s="73"/>
      <c r="G215" s="70"/>
      <c r="H215" s="74"/>
      <c r="I215" s="75"/>
      <c r="J215" s="75"/>
      <c r="K215" s="36"/>
      <c r="L215" s="82"/>
      <c r="M215" s="82"/>
      <c r="N215" s="77"/>
      <c r="O215" s="84" t="s">
        <v>500</v>
      </c>
      <c r="P215" s="86">
        <v>44022.767951388887</v>
      </c>
      <c r="Q215" s="84" t="s">
        <v>633</v>
      </c>
      <c r="R215" s="87" t="str">
        <f>HYPERLINK("http://artxfm.com")</f>
        <v>http://artxfm.com</v>
      </c>
      <c r="S215" s="84" t="s">
        <v>774</v>
      </c>
      <c r="T215" s="84"/>
      <c r="U215" s="84"/>
      <c r="V215" s="87" t="str">
        <f>HYPERLINK("http://pbs.twimg.com/profile_images/651573498847055872/h_zcvKvV_normal.jpg")</f>
        <v>http://pbs.twimg.com/profile_images/651573498847055872/h_zcvKvV_normal.jpg</v>
      </c>
      <c r="W215" s="86">
        <v>44022.767951388887</v>
      </c>
      <c r="X215" s="90">
        <v>44022</v>
      </c>
      <c r="Y215" s="92" t="s">
        <v>1023</v>
      </c>
      <c r="Z215" s="87" t="str">
        <f>HYPERLINK("https://twitter.com/artxfm/status/1281655892098912257")</f>
        <v>https://twitter.com/artxfm/status/1281655892098912257</v>
      </c>
      <c r="AA215" s="84"/>
      <c r="AB215" s="84"/>
      <c r="AC215" s="92" t="s">
        <v>1442</v>
      </c>
      <c r="AD215" s="84"/>
      <c r="AE215" s="84" t="b">
        <v>0</v>
      </c>
      <c r="AF215" s="84">
        <v>0</v>
      </c>
      <c r="AG215" s="92" t="s">
        <v>1724</v>
      </c>
      <c r="AH215" s="84" t="b">
        <v>0</v>
      </c>
      <c r="AI215" s="84" t="s">
        <v>1751</v>
      </c>
      <c r="AJ215" s="84"/>
      <c r="AK215" s="92" t="s">
        <v>1724</v>
      </c>
      <c r="AL215" s="84" t="b">
        <v>0</v>
      </c>
      <c r="AM215" s="84">
        <v>3</v>
      </c>
      <c r="AN215" s="92" t="s">
        <v>1443</v>
      </c>
      <c r="AO215" s="84" t="s">
        <v>1763</v>
      </c>
      <c r="AP215" s="84" t="b">
        <v>0</v>
      </c>
      <c r="AQ215" s="92" t="s">
        <v>1443</v>
      </c>
      <c r="AR215" s="84" t="s">
        <v>179</v>
      </c>
      <c r="AS215" s="84">
        <v>0</v>
      </c>
      <c r="AT215" s="84">
        <v>0</v>
      </c>
      <c r="AU215" s="84"/>
      <c r="AV215" s="84"/>
      <c r="AW215" s="84"/>
      <c r="AX215" s="84"/>
      <c r="AY215" s="84"/>
      <c r="AZ215" s="84"/>
      <c r="BA215" s="84"/>
      <c r="BB215" s="84"/>
    </row>
    <row r="216" spans="1:54" x14ac:dyDescent="0.2">
      <c r="A216" s="69" t="s">
        <v>332</v>
      </c>
      <c r="B216" s="69" t="s">
        <v>332</v>
      </c>
      <c r="C216" s="70"/>
      <c r="D216" s="71"/>
      <c r="E216" s="72"/>
      <c r="F216" s="73"/>
      <c r="G216" s="70"/>
      <c r="H216" s="74"/>
      <c r="I216" s="75"/>
      <c r="J216" s="75"/>
      <c r="K216" s="36"/>
      <c r="L216" s="82"/>
      <c r="M216" s="82"/>
      <c r="N216" s="77"/>
      <c r="O216" s="84" t="s">
        <v>179</v>
      </c>
      <c r="P216" s="86">
        <v>44022.740798611114</v>
      </c>
      <c r="Q216" s="84" t="s">
        <v>633</v>
      </c>
      <c r="R216" s="87" t="str">
        <f>HYPERLINK("http://artxfm.com")</f>
        <v>http://artxfm.com</v>
      </c>
      <c r="S216" s="84" t="s">
        <v>774</v>
      </c>
      <c r="T216" s="84" t="s">
        <v>828</v>
      </c>
      <c r="U216" s="84"/>
      <c r="V216" s="87" t="str">
        <f>HYPERLINK("http://pbs.twimg.com/profile_images/1215465035549462528/5I-RoR8__normal.jpg")</f>
        <v>http://pbs.twimg.com/profile_images/1215465035549462528/5I-RoR8__normal.jpg</v>
      </c>
      <c r="W216" s="86">
        <v>44022.740798611114</v>
      </c>
      <c r="X216" s="90">
        <v>44022</v>
      </c>
      <c r="Y216" s="92" t="s">
        <v>1024</v>
      </c>
      <c r="Z216" s="87" t="str">
        <f>HYPERLINK("https://twitter.com/dj_hunchback_/status/1281646053650030592")</f>
        <v>https://twitter.com/dj_hunchback_/status/1281646053650030592</v>
      </c>
      <c r="AA216" s="84"/>
      <c r="AB216" s="84"/>
      <c r="AC216" s="92" t="s">
        <v>1443</v>
      </c>
      <c r="AD216" s="84"/>
      <c r="AE216" s="84" t="b">
        <v>0</v>
      </c>
      <c r="AF216" s="84">
        <v>7</v>
      </c>
      <c r="AG216" s="92" t="s">
        <v>1724</v>
      </c>
      <c r="AH216" s="84" t="b">
        <v>0</v>
      </c>
      <c r="AI216" s="84" t="s">
        <v>1751</v>
      </c>
      <c r="AJ216" s="84"/>
      <c r="AK216" s="92" t="s">
        <v>1724</v>
      </c>
      <c r="AL216" s="84" t="b">
        <v>0</v>
      </c>
      <c r="AM216" s="84">
        <v>3</v>
      </c>
      <c r="AN216" s="92" t="s">
        <v>1724</v>
      </c>
      <c r="AO216" s="84" t="s">
        <v>1763</v>
      </c>
      <c r="AP216" s="84" t="b">
        <v>0</v>
      </c>
      <c r="AQ216" s="92" t="s">
        <v>1443</v>
      </c>
      <c r="AR216" s="84" t="s">
        <v>179</v>
      </c>
      <c r="AS216" s="84">
        <v>0</v>
      </c>
      <c r="AT216" s="84">
        <v>0</v>
      </c>
      <c r="AU216" s="84"/>
      <c r="AV216" s="84"/>
      <c r="AW216" s="84"/>
      <c r="AX216" s="84"/>
      <c r="AY216" s="84"/>
      <c r="AZ216" s="84"/>
      <c r="BA216" s="84"/>
      <c r="BB216" s="84"/>
    </row>
    <row r="217" spans="1:54" x14ac:dyDescent="0.2">
      <c r="A217" s="69" t="s">
        <v>330</v>
      </c>
      <c r="B217" s="69" t="s">
        <v>330</v>
      </c>
      <c r="C217" s="70"/>
      <c r="D217" s="71"/>
      <c r="E217" s="72"/>
      <c r="F217" s="73"/>
      <c r="G217" s="70"/>
      <c r="H217" s="74"/>
      <c r="I217" s="75"/>
      <c r="J217" s="75"/>
      <c r="K217" s="36"/>
      <c r="L217" s="82"/>
      <c r="M217" s="82"/>
      <c r="N217" s="77"/>
      <c r="O217" s="84" t="s">
        <v>179</v>
      </c>
      <c r="P217" s="86">
        <v>44022.710104166668</v>
      </c>
      <c r="Q217" s="84" t="s">
        <v>632</v>
      </c>
      <c r="R217" s="84"/>
      <c r="S217" s="84"/>
      <c r="T217" s="84" t="s">
        <v>781</v>
      </c>
      <c r="U217" s="84"/>
      <c r="V217" s="87" t="str">
        <f>HYPERLINK("http://pbs.twimg.com/profile_images/1242118835479678976/cuFajaKO_normal.jpg")</f>
        <v>http://pbs.twimg.com/profile_images/1242118835479678976/cuFajaKO_normal.jpg</v>
      </c>
      <c r="W217" s="86">
        <v>44022.710104166668</v>
      </c>
      <c r="X217" s="90">
        <v>44022</v>
      </c>
      <c r="Y217" s="92" t="s">
        <v>1022</v>
      </c>
      <c r="Z217" s="87" t="str">
        <f>HYPERLINK("https://twitter.com/diazed6/status/1281634930905276416")</f>
        <v>https://twitter.com/diazed6/status/1281634930905276416</v>
      </c>
      <c r="AA217" s="84"/>
      <c r="AB217" s="84"/>
      <c r="AC217" s="92" t="s">
        <v>1441</v>
      </c>
      <c r="AD217" s="84"/>
      <c r="AE217" s="84" t="b">
        <v>0</v>
      </c>
      <c r="AF217" s="84">
        <v>1</v>
      </c>
      <c r="AG217" s="92" t="s">
        <v>1724</v>
      </c>
      <c r="AH217" s="84" t="b">
        <v>0</v>
      </c>
      <c r="AI217" s="84" t="s">
        <v>1751</v>
      </c>
      <c r="AJ217" s="84"/>
      <c r="AK217" s="92" t="s">
        <v>1724</v>
      </c>
      <c r="AL217" s="84" t="b">
        <v>0</v>
      </c>
      <c r="AM217" s="84">
        <v>0</v>
      </c>
      <c r="AN217" s="92" t="s">
        <v>1724</v>
      </c>
      <c r="AO217" s="84" t="s">
        <v>1763</v>
      </c>
      <c r="AP217" s="84" t="b">
        <v>0</v>
      </c>
      <c r="AQ217" s="92" t="s">
        <v>1441</v>
      </c>
      <c r="AR217" s="84" t="s">
        <v>179</v>
      </c>
      <c r="AS217" s="84">
        <v>0</v>
      </c>
      <c r="AT217" s="84">
        <v>0</v>
      </c>
      <c r="AU217" s="84"/>
      <c r="AV217" s="84"/>
      <c r="AW217" s="84"/>
      <c r="AX217" s="84"/>
      <c r="AY217" s="84"/>
      <c r="AZ217" s="84"/>
      <c r="BA217" s="84"/>
      <c r="BB217" s="84"/>
    </row>
    <row r="218" spans="1:54" x14ac:dyDescent="0.2">
      <c r="A218" s="69" t="s">
        <v>329</v>
      </c>
      <c r="B218" s="69" t="s">
        <v>329</v>
      </c>
      <c r="C218" s="70"/>
      <c r="D218" s="71"/>
      <c r="E218" s="72"/>
      <c r="F218" s="73"/>
      <c r="G218" s="70"/>
      <c r="H218" s="74"/>
      <c r="I218" s="75"/>
      <c r="J218" s="75"/>
      <c r="K218" s="36"/>
      <c r="L218" s="82"/>
      <c r="M218" s="82"/>
      <c r="N218" s="77"/>
      <c r="O218" s="84" t="s">
        <v>179</v>
      </c>
      <c r="P218" s="86">
        <v>44022.692233796297</v>
      </c>
      <c r="Q218" s="84" t="s">
        <v>631</v>
      </c>
      <c r="R218" s="84"/>
      <c r="S218" s="84"/>
      <c r="T218" s="84" t="s">
        <v>781</v>
      </c>
      <c r="U218" s="84"/>
      <c r="V218" s="87" t="str">
        <f>HYPERLINK("http://pbs.twimg.com/profile_images/56161983/img_normal.jpg")</f>
        <v>http://pbs.twimg.com/profile_images/56161983/img_normal.jpg</v>
      </c>
      <c r="W218" s="86">
        <v>44022.692233796297</v>
      </c>
      <c r="X218" s="90">
        <v>44022</v>
      </c>
      <c r="Y218" s="92" t="s">
        <v>1021</v>
      </c>
      <c r="Z218" s="87" t="str">
        <f>HYPERLINK("https://twitter.com/jeanluc_picachu/status/1281628455029768192")</f>
        <v>https://twitter.com/jeanluc_picachu/status/1281628455029768192</v>
      </c>
      <c r="AA218" s="84"/>
      <c r="AB218" s="84"/>
      <c r="AC218" s="92" t="s">
        <v>1440</v>
      </c>
      <c r="AD218" s="84"/>
      <c r="AE218" s="84" t="b">
        <v>0</v>
      </c>
      <c r="AF218" s="84">
        <v>1</v>
      </c>
      <c r="AG218" s="92" t="s">
        <v>1724</v>
      </c>
      <c r="AH218" s="84" t="b">
        <v>0</v>
      </c>
      <c r="AI218" s="84" t="s">
        <v>1750</v>
      </c>
      <c r="AJ218" s="84"/>
      <c r="AK218" s="92" t="s">
        <v>1724</v>
      </c>
      <c r="AL218" s="84" t="b">
        <v>0</v>
      </c>
      <c r="AM218" s="84">
        <v>0</v>
      </c>
      <c r="AN218" s="92" t="s">
        <v>1724</v>
      </c>
      <c r="AO218" s="84" t="s">
        <v>1763</v>
      </c>
      <c r="AP218" s="84" t="b">
        <v>0</v>
      </c>
      <c r="AQ218" s="92" t="s">
        <v>1440</v>
      </c>
      <c r="AR218" s="84" t="s">
        <v>179</v>
      </c>
      <c r="AS218" s="84">
        <v>0</v>
      </c>
      <c r="AT218" s="84">
        <v>0</v>
      </c>
      <c r="AU218" s="84"/>
      <c r="AV218" s="84"/>
      <c r="AW218" s="84"/>
      <c r="AX218" s="84"/>
      <c r="AY218" s="84"/>
      <c r="AZ218" s="84"/>
      <c r="BA218" s="84"/>
      <c r="BB218" s="84"/>
    </row>
    <row r="219" spans="1:54" x14ac:dyDescent="0.2">
      <c r="A219" s="69" t="s">
        <v>328</v>
      </c>
      <c r="B219" s="69" t="s">
        <v>328</v>
      </c>
      <c r="C219" s="70"/>
      <c r="D219" s="71"/>
      <c r="E219" s="72"/>
      <c r="F219" s="73"/>
      <c r="G219" s="70"/>
      <c r="H219" s="74"/>
      <c r="I219" s="75"/>
      <c r="J219" s="75"/>
      <c r="K219" s="36"/>
      <c r="L219" s="82"/>
      <c r="M219" s="82"/>
      <c r="N219" s="77"/>
      <c r="O219" s="84" t="s">
        <v>179</v>
      </c>
      <c r="P219" s="86">
        <v>44022.675937499997</v>
      </c>
      <c r="Q219" s="84" t="s">
        <v>628</v>
      </c>
      <c r="R219" s="84"/>
      <c r="S219" s="84"/>
      <c r="T219" s="84" t="s">
        <v>827</v>
      </c>
      <c r="U219" s="87" t="str">
        <f>HYPERLINK("https://pbs.twimg.com/media/Eck86qmXkAAJffy.jpg")</f>
        <v>https://pbs.twimg.com/media/Eck86qmXkAAJffy.jpg</v>
      </c>
      <c r="V219" s="87" t="str">
        <f>HYPERLINK("https://pbs.twimg.com/media/Eck86qmXkAAJffy.jpg")</f>
        <v>https://pbs.twimg.com/media/Eck86qmXkAAJffy.jpg</v>
      </c>
      <c r="W219" s="86">
        <v>44022.675937499997</v>
      </c>
      <c r="X219" s="90">
        <v>44022</v>
      </c>
      <c r="Y219" s="92" t="s">
        <v>1018</v>
      </c>
      <c r="Z219" s="87" t="str">
        <f>HYPERLINK("https://twitter.com/halhubener/status/1281622550083244033")</f>
        <v>https://twitter.com/halhubener/status/1281622550083244033</v>
      </c>
      <c r="AA219" s="84"/>
      <c r="AB219" s="84"/>
      <c r="AC219" s="92" t="s">
        <v>1437</v>
      </c>
      <c r="AD219" s="84"/>
      <c r="AE219" s="84" t="b">
        <v>0</v>
      </c>
      <c r="AF219" s="84">
        <v>0</v>
      </c>
      <c r="AG219" s="92" t="s">
        <v>1724</v>
      </c>
      <c r="AH219" s="84" t="b">
        <v>0</v>
      </c>
      <c r="AI219" s="84" t="s">
        <v>1753</v>
      </c>
      <c r="AJ219" s="84"/>
      <c r="AK219" s="92" t="s">
        <v>1724</v>
      </c>
      <c r="AL219" s="84" t="b">
        <v>0</v>
      </c>
      <c r="AM219" s="84">
        <v>0</v>
      </c>
      <c r="AN219" s="92" t="s">
        <v>1724</v>
      </c>
      <c r="AO219" s="84" t="s">
        <v>1764</v>
      </c>
      <c r="AP219" s="84" t="b">
        <v>0</v>
      </c>
      <c r="AQ219" s="92" t="s">
        <v>1437</v>
      </c>
      <c r="AR219" s="84" t="s">
        <v>179</v>
      </c>
      <c r="AS219" s="84">
        <v>0</v>
      </c>
      <c r="AT219" s="84">
        <v>0</v>
      </c>
      <c r="AU219" s="84"/>
      <c r="AV219" s="84"/>
      <c r="AW219" s="84"/>
      <c r="AX219" s="84"/>
      <c r="AY219" s="84"/>
      <c r="AZ219" s="84"/>
      <c r="BA219" s="84"/>
      <c r="BB219" s="84"/>
    </row>
    <row r="220" spans="1:54" x14ac:dyDescent="0.2">
      <c r="A220" s="69" t="s">
        <v>436</v>
      </c>
      <c r="B220" s="69" t="s">
        <v>436</v>
      </c>
      <c r="C220" s="70"/>
      <c r="D220" s="71"/>
      <c r="E220" s="72"/>
      <c r="F220" s="73"/>
      <c r="G220" s="70"/>
      <c r="H220" s="74"/>
      <c r="I220" s="75"/>
      <c r="J220" s="75"/>
      <c r="K220" s="36"/>
      <c r="L220" s="82"/>
      <c r="M220" s="82"/>
      <c r="N220" s="77"/>
      <c r="O220" s="84" t="s">
        <v>179</v>
      </c>
      <c r="P220" s="86">
        <v>44022.645740740743</v>
      </c>
      <c r="Q220" s="84" t="s">
        <v>737</v>
      </c>
      <c r="R220" s="84"/>
      <c r="S220" s="84"/>
      <c r="T220" s="84" t="s">
        <v>781</v>
      </c>
      <c r="U220" s="87" t="str">
        <f>HYPERLINK("https://pbs.twimg.com/media/Ecky9noUcAAuA9O.jpg")</f>
        <v>https://pbs.twimg.com/media/Ecky9noUcAAuA9O.jpg</v>
      </c>
      <c r="V220" s="87" t="str">
        <f>HYPERLINK("https://pbs.twimg.com/media/Ecky9noUcAAuA9O.jpg")</f>
        <v>https://pbs.twimg.com/media/Ecky9noUcAAuA9O.jpg</v>
      </c>
      <c r="W220" s="86">
        <v>44022.645740740743</v>
      </c>
      <c r="X220" s="90">
        <v>44022</v>
      </c>
      <c r="Y220" s="92" t="s">
        <v>1230</v>
      </c>
      <c r="Z220" s="87" t="str">
        <f>HYPERLINK("https://twitter.com/waiwai5321/status/1281611606728667138")</f>
        <v>https://twitter.com/waiwai5321/status/1281611606728667138</v>
      </c>
      <c r="AA220" s="84"/>
      <c r="AB220" s="84"/>
      <c r="AC220" s="92" t="s">
        <v>1651</v>
      </c>
      <c r="AD220" s="84"/>
      <c r="AE220" s="84" t="b">
        <v>0</v>
      </c>
      <c r="AF220" s="84">
        <v>2</v>
      </c>
      <c r="AG220" s="92" t="s">
        <v>1724</v>
      </c>
      <c r="AH220" s="84" t="b">
        <v>0</v>
      </c>
      <c r="AI220" s="84" t="s">
        <v>1750</v>
      </c>
      <c r="AJ220" s="84"/>
      <c r="AK220" s="92" t="s">
        <v>1724</v>
      </c>
      <c r="AL220" s="84" t="b">
        <v>0</v>
      </c>
      <c r="AM220" s="84">
        <v>0</v>
      </c>
      <c r="AN220" s="92" t="s">
        <v>1724</v>
      </c>
      <c r="AO220" s="84" t="s">
        <v>1763</v>
      </c>
      <c r="AP220" s="84" t="b">
        <v>0</v>
      </c>
      <c r="AQ220" s="92" t="s">
        <v>1651</v>
      </c>
      <c r="AR220" s="84" t="s">
        <v>179</v>
      </c>
      <c r="AS220" s="84">
        <v>0</v>
      </c>
      <c r="AT220" s="84">
        <v>0</v>
      </c>
      <c r="AU220" s="84"/>
      <c r="AV220" s="84"/>
      <c r="AW220" s="84"/>
      <c r="AX220" s="84"/>
      <c r="AY220" s="84"/>
      <c r="AZ220" s="84"/>
      <c r="BA220" s="84"/>
      <c r="BB220" s="84"/>
    </row>
    <row r="221" spans="1:54" x14ac:dyDescent="0.2">
      <c r="A221" s="69" t="s">
        <v>436</v>
      </c>
      <c r="B221" s="69" t="s">
        <v>436</v>
      </c>
      <c r="C221" s="70"/>
      <c r="D221" s="71"/>
      <c r="E221" s="72"/>
      <c r="F221" s="73"/>
      <c r="G221" s="70"/>
      <c r="H221" s="74"/>
      <c r="I221" s="75"/>
      <c r="J221" s="75"/>
      <c r="K221" s="36"/>
      <c r="L221" s="82"/>
      <c r="M221" s="82"/>
      <c r="N221" s="77"/>
      <c r="O221" s="84" t="s">
        <v>179</v>
      </c>
      <c r="P221" s="86">
        <v>44022.642187500001</v>
      </c>
      <c r="Q221" s="84" t="s">
        <v>736</v>
      </c>
      <c r="R221" s="84"/>
      <c r="S221" s="84"/>
      <c r="T221" s="84" t="s">
        <v>781</v>
      </c>
      <c r="U221" s="87" t="str">
        <f>HYPERLINK("https://pbs.twimg.com/media/EckxyigUYAEdoQx.jpg")</f>
        <v>https://pbs.twimg.com/media/EckxyigUYAEdoQx.jpg</v>
      </c>
      <c r="V221" s="87" t="str">
        <f>HYPERLINK("https://pbs.twimg.com/media/EckxyigUYAEdoQx.jpg")</f>
        <v>https://pbs.twimg.com/media/EckxyigUYAEdoQx.jpg</v>
      </c>
      <c r="W221" s="86">
        <v>44022.642187500001</v>
      </c>
      <c r="X221" s="90">
        <v>44022</v>
      </c>
      <c r="Y221" s="92" t="s">
        <v>1229</v>
      </c>
      <c r="Z221" s="87" t="str">
        <f>HYPERLINK("https://twitter.com/waiwai5321/status/1281610317605122048")</f>
        <v>https://twitter.com/waiwai5321/status/1281610317605122048</v>
      </c>
      <c r="AA221" s="84"/>
      <c r="AB221" s="84"/>
      <c r="AC221" s="92" t="s">
        <v>1650</v>
      </c>
      <c r="AD221" s="84"/>
      <c r="AE221" s="84" t="b">
        <v>0</v>
      </c>
      <c r="AF221" s="84">
        <v>1</v>
      </c>
      <c r="AG221" s="92" t="s">
        <v>1724</v>
      </c>
      <c r="AH221" s="84" t="b">
        <v>0</v>
      </c>
      <c r="AI221" s="84" t="s">
        <v>1750</v>
      </c>
      <c r="AJ221" s="84"/>
      <c r="AK221" s="92" t="s">
        <v>1724</v>
      </c>
      <c r="AL221" s="84" t="b">
        <v>0</v>
      </c>
      <c r="AM221" s="84">
        <v>0</v>
      </c>
      <c r="AN221" s="92" t="s">
        <v>1724</v>
      </c>
      <c r="AO221" s="84" t="s">
        <v>1763</v>
      </c>
      <c r="AP221" s="84" t="b">
        <v>0</v>
      </c>
      <c r="AQ221" s="92" t="s">
        <v>1650</v>
      </c>
      <c r="AR221" s="84" t="s">
        <v>179</v>
      </c>
      <c r="AS221" s="84">
        <v>0</v>
      </c>
      <c r="AT221" s="84">
        <v>0</v>
      </c>
      <c r="AU221" s="84"/>
      <c r="AV221" s="84"/>
      <c r="AW221" s="84"/>
      <c r="AX221" s="84"/>
      <c r="AY221" s="84"/>
      <c r="AZ221" s="84"/>
      <c r="BA221" s="84"/>
      <c r="BB221" s="84"/>
    </row>
    <row r="222" spans="1:54" x14ac:dyDescent="0.2">
      <c r="A222" s="69" t="s">
        <v>327</v>
      </c>
      <c r="B222" s="69" t="s">
        <v>465</v>
      </c>
      <c r="C222" s="70"/>
      <c r="D222" s="71"/>
      <c r="E222" s="72"/>
      <c r="F222" s="73"/>
      <c r="G222" s="70"/>
      <c r="H222" s="74"/>
      <c r="I222" s="75"/>
      <c r="J222" s="75"/>
      <c r="K222" s="36"/>
      <c r="L222" s="82"/>
      <c r="M222" s="82"/>
      <c r="N222" s="77"/>
      <c r="O222" s="84" t="s">
        <v>503</v>
      </c>
      <c r="P222" s="86">
        <v>44022.628576388888</v>
      </c>
      <c r="Q222" s="84" t="s">
        <v>627</v>
      </c>
      <c r="R222" s="84"/>
      <c r="S222" s="84"/>
      <c r="T222" s="84" t="s">
        <v>781</v>
      </c>
      <c r="U222" s="84"/>
      <c r="V222" s="87" t="str">
        <f>HYPERLINK("http://pbs.twimg.com/profile_images/969690957611458560/-H1SnPlF_normal.jpg")</f>
        <v>http://pbs.twimg.com/profile_images/969690957611458560/-H1SnPlF_normal.jpg</v>
      </c>
      <c r="W222" s="86">
        <v>44022.628576388888</v>
      </c>
      <c r="X222" s="90">
        <v>44022</v>
      </c>
      <c r="Y222" s="92" t="s">
        <v>1017</v>
      </c>
      <c r="Z222" s="87" t="str">
        <f>HYPERLINK("https://twitter.com/mmthornberg/status/1281605386345369601")</f>
        <v>https://twitter.com/mmthornberg/status/1281605386345369601</v>
      </c>
      <c r="AA222" s="84"/>
      <c r="AB222" s="84"/>
      <c r="AC222" s="92" t="s">
        <v>1436</v>
      </c>
      <c r="AD222" s="84"/>
      <c r="AE222" s="84" t="b">
        <v>0</v>
      </c>
      <c r="AF222" s="84">
        <v>1</v>
      </c>
      <c r="AG222" s="92" t="s">
        <v>1736</v>
      </c>
      <c r="AH222" s="84" t="b">
        <v>0</v>
      </c>
      <c r="AI222" s="84" t="s">
        <v>1751</v>
      </c>
      <c r="AJ222" s="84"/>
      <c r="AK222" s="92" t="s">
        <v>1724</v>
      </c>
      <c r="AL222" s="84" t="b">
        <v>0</v>
      </c>
      <c r="AM222" s="84">
        <v>0</v>
      </c>
      <c r="AN222" s="92" t="s">
        <v>1724</v>
      </c>
      <c r="AO222" s="84" t="s">
        <v>1764</v>
      </c>
      <c r="AP222" s="84" t="b">
        <v>0</v>
      </c>
      <c r="AQ222" s="92" t="s">
        <v>1436</v>
      </c>
      <c r="AR222" s="84" t="s">
        <v>179</v>
      </c>
      <c r="AS222" s="84">
        <v>0</v>
      </c>
      <c r="AT222" s="84">
        <v>0</v>
      </c>
      <c r="AU222" s="84"/>
      <c r="AV222" s="84"/>
      <c r="AW222" s="84"/>
      <c r="AX222" s="84"/>
      <c r="AY222" s="84"/>
      <c r="AZ222" s="84"/>
      <c r="BA222" s="84"/>
      <c r="BB222" s="84"/>
    </row>
    <row r="223" spans="1:54" x14ac:dyDescent="0.2">
      <c r="A223" s="69" t="s">
        <v>409</v>
      </c>
      <c r="B223" s="69" t="s">
        <v>409</v>
      </c>
      <c r="C223" s="70"/>
      <c r="D223" s="71"/>
      <c r="E223" s="72"/>
      <c r="F223" s="73"/>
      <c r="G223" s="70"/>
      <c r="H223" s="74"/>
      <c r="I223" s="75"/>
      <c r="J223" s="75"/>
      <c r="K223" s="36"/>
      <c r="L223" s="82"/>
      <c r="M223" s="82"/>
      <c r="N223" s="77"/>
      <c r="O223" s="84" t="s">
        <v>179</v>
      </c>
      <c r="P223" s="86">
        <v>44022.621388888889</v>
      </c>
      <c r="Q223" s="84" t="s">
        <v>706</v>
      </c>
      <c r="R223" s="84"/>
      <c r="S223" s="84"/>
      <c r="T223" s="84" t="s">
        <v>781</v>
      </c>
      <c r="U223" s="87" t="str">
        <f>HYPERLINK("https://pbs.twimg.com/media/Eckq5xJUwAEQOo-.png")</f>
        <v>https://pbs.twimg.com/media/Eckq5xJUwAEQOo-.png</v>
      </c>
      <c r="V223" s="87" t="str">
        <f>HYPERLINK("https://pbs.twimg.com/media/Eckq5xJUwAEQOo-.png")</f>
        <v>https://pbs.twimg.com/media/Eckq5xJUwAEQOo-.png</v>
      </c>
      <c r="W223" s="86">
        <v>44022.621388888889</v>
      </c>
      <c r="X223" s="90">
        <v>44022</v>
      </c>
      <c r="Y223" s="92" t="s">
        <v>1174</v>
      </c>
      <c r="Z223" s="87" t="str">
        <f>HYPERLINK("https://twitter.com/sinxsan/status/1281602779480338433")</f>
        <v>https://twitter.com/sinxsan/status/1281602779480338433</v>
      </c>
      <c r="AA223" s="84"/>
      <c r="AB223" s="84"/>
      <c r="AC223" s="92" t="s">
        <v>1595</v>
      </c>
      <c r="AD223" s="84"/>
      <c r="AE223" s="84" t="b">
        <v>0</v>
      </c>
      <c r="AF223" s="84">
        <v>18</v>
      </c>
      <c r="AG223" s="92" t="s">
        <v>1724</v>
      </c>
      <c r="AH223" s="84" t="b">
        <v>0</v>
      </c>
      <c r="AI223" s="84" t="s">
        <v>1750</v>
      </c>
      <c r="AJ223" s="84"/>
      <c r="AK223" s="92" t="s">
        <v>1724</v>
      </c>
      <c r="AL223" s="84" t="b">
        <v>0</v>
      </c>
      <c r="AM223" s="84">
        <v>0</v>
      </c>
      <c r="AN223" s="92" t="s">
        <v>1724</v>
      </c>
      <c r="AO223" s="84" t="s">
        <v>1766</v>
      </c>
      <c r="AP223" s="84" t="b">
        <v>0</v>
      </c>
      <c r="AQ223" s="92" t="s">
        <v>1595</v>
      </c>
      <c r="AR223" s="84" t="s">
        <v>179</v>
      </c>
      <c r="AS223" s="84">
        <v>0</v>
      </c>
      <c r="AT223" s="84">
        <v>0</v>
      </c>
      <c r="AU223" s="84"/>
      <c r="AV223" s="84"/>
      <c r="AW223" s="84"/>
      <c r="AX223" s="84"/>
      <c r="AY223" s="84"/>
      <c r="AZ223" s="84"/>
      <c r="BA223" s="84"/>
      <c r="BB223" s="84"/>
    </row>
    <row r="224" spans="1:54" x14ac:dyDescent="0.2">
      <c r="A224" s="69" t="s">
        <v>326</v>
      </c>
      <c r="B224" s="69" t="s">
        <v>475</v>
      </c>
      <c r="C224" s="70"/>
      <c r="D224" s="71"/>
      <c r="E224" s="72"/>
      <c r="F224" s="73"/>
      <c r="G224" s="70"/>
      <c r="H224" s="74"/>
      <c r="I224" s="75"/>
      <c r="J224" s="75"/>
      <c r="K224" s="36"/>
      <c r="L224" s="82"/>
      <c r="M224" s="82"/>
      <c r="N224" s="77"/>
      <c r="O224" s="84" t="s">
        <v>502</v>
      </c>
      <c r="P224" s="86">
        <v>44022.531550925924</v>
      </c>
      <c r="Q224" s="84" t="s">
        <v>626</v>
      </c>
      <c r="R224" s="84"/>
      <c r="S224" s="84"/>
      <c r="T224" s="84" t="s">
        <v>826</v>
      </c>
      <c r="U224" s="87" t="str">
        <f t="shared" ref="U224:V237" si="5">HYPERLINK("https://pbs.twimg.com/ext_tw_video_thumb/1281568154653790210/pu/img/hjEIbNb0vZcI6a63.jpg")</f>
        <v>https://pbs.twimg.com/ext_tw_video_thumb/1281568154653790210/pu/img/hjEIbNb0vZcI6a63.jpg</v>
      </c>
      <c r="V224" s="87" t="str">
        <f t="shared" si="5"/>
        <v>https://pbs.twimg.com/ext_tw_video_thumb/1281568154653790210/pu/img/hjEIbNb0vZcI6a63.jpg</v>
      </c>
      <c r="W224" s="86">
        <v>44022.531550925924</v>
      </c>
      <c r="X224" s="90">
        <v>44022</v>
      </c>
      <c r="Y224" s="92" t="s">
        <v>1016</v>
      </c>
      <c r="Z224" s="87" t="str">
        <f>HYPERLINK("https://twitter.com/posi4hope/status/1281570223699656705")</f>
        <v>https://twitter.com/posi4hope/status/1281570223699656705</v>
      </c>
      <c r="AA224" s="84"/>
      <c r="AB224" s="84"/>
      <c r="AC224" s="92" t="s">
        <v>1435</v>
      </c>
      <c r="AD224" s="84"/>
      <c r="AE224" s="84" t="b">
        <v>0</v>
      </c>
      <c r="AF224" s="84">
        <v>0</v>
      </c>
      <c r="AG224" s="92" t="s">
        <v>1724</v>
      </c>
      <c r="AH224" s="84" t="b">
        <v>0</v>
      </c>
      <c r="AI224" s="84" t="s">
        <v>1751</v>
      </c>
      <c r="AJ224" s="84"/>
      <c r="AK224" s="92" t="s">
        <v>1724</v>
      </c>
      <c r="AL224" s="84" t="b">
        <v>0</v>
      </c>
      <c r="AM224" s="84">
        <v>2</v>
      </c>
      <c r="AN224" s="92" t="s">
        <v>1434</v>
      </c>
      <c r="AO224" s="84" t="s">
        <v>1763</v>
      </c>
      <c r="AP224" s="84" t="b">
        <v>0</v>
      </c>
      <c r="AQ224" s="92" t="s">
        <v>1434</v>
      </c>
      <c r="AR224" s="84" t="s">
        <v>179</v>
      </c>
      <c r="AS224" s="84">
        <v>0</v>
      </c>
      <c r="AT224" s="84">
        <v>0</v>
      </c>
      <c r="AU224" s="84"/>
      <c r="AV224" s="84"/>
      <c r="AW224" s="84"/>
      <c r="AX224" s="84"/>
      <c r="AY224" s="84"/>
      <c r="AZ224" s="84"/>
      <c r="BA224" s="84"/>
      <c r="BB224" s="84"/>
    </row>
    <row r="225" spans="1:54" x14ac:dyDescent="0.2">
      <c r="A225" s="69" t="s">
        <v>326</v>
      </c>
      <c r="B225" s="69" t="s">
        <v>476</v>
      </c>
      <c r="C225" s="70"/>
      <c r="D225" s="71"/>
      <c r="E225" s="72"/>
      <c r="F225" s="73"/>
      <c r="G225" s="70"/>
      <c r="H225" s="74"/>
      <c r="I225" s="75"/>
      <c r="J225" s="75"/>
      <c r="K225" s="36"/>
      <c r="L225" s="82"/>
      <c r="M225" s="82"/>
      <c r="N225" s="77"/>
      <c r="O225" s="84" t="s">
        <v>502</v>
      </c>
      <c r="P225" s="86">
        <v>44022.531550925924</v>
      </c>
      <c r="Q225" s="84" t="s">
        <v>626</v>
      </c>
      <c r="R225" s="84"/>
      <c r="S225" s="84"/>
      <c r="T225" s="84" t="s">
        <v>826</v>
      </c>
      <c r="U225" s="87" t="str">
        <f t="shared" si="5"/>
        <v>https://pbs.twimg.com/ext_tw_video_thumb/1281568154653790210/pu/img/hjEIbNb0vZcI6a63.jpg</v>
      </c>
      <c r="V225" s="87" t="str">
        <f t="shared" si="5"/>
        <v>https://pbs.twimg.com/ext_tw_video_thumb/1281568154653790210/pu/img/hjEIbNb0vZcI6a63.jpg</v>
      </c>
      <c r="W225" s="86">
        <v>44022.531550925924</v>
      </c>
      <c r="X225" s="90">
        <v>44022</v>
      </c>
      <c r="Y225" s="92" t="s">
        <v>1016</v>
      </c>
      <c r="Z225" s="87" t="str">
        <f>HYPERLINK("https://twitter.com/posi4hope/status/1281570223699656705")</f>
        <v>https://twitter.com/posi4hope/status/1281570223699656705</v>
      </c>
      <c r="AA225" s="84"/>
      <c r="AB225" s="84"/>
      <c r="AC225" s="92" t="s">
        <v>1435</v>
      </c>
      <c r="AD225" s="84"/>
      <c r="AE225" s="84" t="b">
        <v>0</v>
      </c>
      <c r="AF225" s="84">
        <v>0</v>
      </c>
      <c r="AG225" s="92" t="s">
        <v>1724</v>
      </c>
      <c r="AH225" s="84" t="b">
        <v>0</v>
      </c>
      <c r="AI225" s="84" t="s">
        <v>1751</v>
      </c>
      <c r="AJ225" s="84"/>
      <c r="AK225" s="92" t="s">
        <v>1724</v>
      </c>
      <c r="AL225" s="84" t="b">
        <v>0</v>
      </c>
      <c r="AM225" s="84">
        <v>2</v>
      </c>
      <c r="AN225" s="92" t="s">
        <v>1434</v>
      </c>
      <c r="AO225" s="84" t="s">
        <v>1763</v>
      </c>
      <c r="AP225" s="84" t="b">
        <v>0</v>
      </c>
      <c r="AQ225" s="92" t="s">
        <v>1434</v>
      </c>
      <c r="AR225" s="84" t="s">
        <v>179</v>
      </c>
      <c r="AS225" s="84">
        <v>0</v>
      </c>
      <c r="AT225" s="84">
        <v>0</v>
      </c>
      <c r="AU225" s="84"/>
      <c r="AV225" s="84"/>
      <c r="AW225" s="84"/>
      <c r="AX225" s="84"/>
      <c r="AY225" s="84"/>
      <c r="AZ225" s="84"/>
      <c r="BA225" s="84"/>
      <c r="BB225" s="84"/>
    </row>
    <row r="226" spans="1:54" x14ac:dyDescent="0.2">
      <c r="A226" s="69" t="s">
        <v>326</v>
      </c>
      <c r="B226" s="69" t="s">
        <v>325</v>
      </c>
      <c r="C226" s="70"/>
      <c r="D226" s="71"/>
      <c r="E226" s="72"/>
      <c r="F226" s="73"/>
      <c r="G226" s="70"/>
      <c r="H226" s="74"/>
      <c r="I226" s="75"/>
      <c r="J226" s="75"/>
      <c r="K226" s="36"/>
      <c r="L226" s="82"/>
      <c r="M226" s="82"/>
      <c r="N226" s="77"/>
      <c r="O226" s="84" t="s">
        <v>500</v>
      </c>
      <c r="P226" s="86">
        <v>44022.531550925924</v>
      </c>
      <c r="Q226" s="84" t="s">
        <v>626</v>
      </c>
      <c r="R226" s="84"/>
      <c r="S226" s="84"/>
      <c r="T226" s="84" t="s">
        <v>826</v>
      </c>
      <c r="U226" s="87" t="str">
        <f t="shared" si="5"/>
        <v>https://pbs.twimg.com/ext_tw_video_thumb/1281568154653790210/pu/img/hjEIbNb0vZcI6a63.jpg</v>
      </c>
      <c r="V226" s="87" t="str">
        <f t="shared" si="5"/>
        <v>https://pbs.twimg.com/ext_tw_video_thumb/1281568154653790210/pu/img/hjEIbNb0vZcI6a63.jpg</v>
      </c>
      <c r="W226" s="86">
        <v>44022.531550925924</v>
      </c>
      <c r="X226" s="90">
        <v>44022</v>
      </c>
      <c r="Y226" s="92" t="s">
        <v>1016</v>
      </c>
      <c r="Z226" s="87" t="str">
        <f>HYPERLINK("https://twitter.com/posi4hope/status/1281570223699656705")</f>
        <v>https://twitter.com/posi4hope/status/1281570223699656705</v>
      </c>
      <c r="AA226" s="84"/>
      <c r="AB226" s="84"/>
      <c r="AC226" s="92" t="s">
        <v>1435</v>
      </c>
      <c r="AD226" s="84"/>
      <c r="AE226" s="84" t="b">
        <v>0</v>
      </c>
      <c r="AF226" s="84">
        <v>0</v>
      </c>
      <c r="AG226" s="92" t="s">
        <v>1724</v>
      </c>
      <c r="AH226" s="84" t="b">
        <v>0</v>
      </c>
      <c r="AI226" s="84" t="s">
        <v>1751</v>
      </c>
      <c r="AJ226" s="84"/>
      <c r="AK226" s="92" t="s">
        <v>1724</v>
      </c>
      <c r="AL226" s="84" t="b">
        <v>0</v>
      </c>
      <c r="AM226" s="84">
        <v>2</v>
      </c>
      <c r="AN226" s="92" t="s">
        <v>1434</v>
      </c>
      <c r="AO226" s="84" t="s">
        <v>1763</v>
      </c>
      <c r="AP226" s="84" t="b">
        <v>0</v>
      </c>
      <c r="AQ226" s="92" t="s">
        <v>1434</v>
      </c>
      <c r="AR226" s="84" t="s">
        <v>179</v>
      </c>
      <c r="AS226" s="84">
        <v>0</v>
      </c>
      <c r="AT226" s="84">
        <v>0</v>
      </c>
      <c r="AU226" s="84"/>
      <c r="AV226" s="84"/>
      <c r="AW226" s="84"/>
      <c r="AX226" s="84"/>
      <c r="AY226" s="84"/>
      <c r="AZ226" s="84"/>
      <c r="BA226" s="84"/>
      <c r="BB226" s="84"/>
    </row>
    <row r="227" spans="1:54" x14ac:dyDescent="0.2">
      <c r="A227" s="69" t="s">
        <v>326</v>
      </c>
      <c r="B227" s="69" t="s">
        <v>477</v>
      </c>
      <c r="C227" s="70"/>
      <c r="D227" s="71"/>
      <c r="E227" s="72"/>
      <c r="F227" s="73"/>
      <c r="G227" s="70"/>
      <c r="H227" s="74"/>
      <c r="I227" s="75"/>
      <c r="J227" s="75"/>
      <c r="K227" s="36"/>
      <c r="L227" s="82"/>
      <c r="M227" s="82"/>
      <c r="N227" s="77"/>
      <c r="O227" s="84" t="s">
        <v>503</v>
      </c>
      <c r="P227" s="86">
        <v>44022.531550925924</v>
      </c>
      <c r="Q227" s="84" t="s">
        <v>626</v>
      </c>
      <c r="R227" s="84"/>
      <c r="S227" s="84"/>
      <c r="T227" s="84" t="s">
        <v>826</v>
      </c>
      <c r="U227" s="87" t="str">
        <f t="shared" si="5"/>
        <v>https://pbs.twimg.com/ext_tw_video_thumb/1281568154653790210/pu/img/hjEIbNb0vZcI6a63.jpg</v>
      </c>
      <c r="V227" s="87" t="str">
        <f t="shared" si="5"/>
        <v>https://pbs.twimg.com/ext_tw_video_thumb/1281568154653790210/pu/img/hjEIbNb0vZcI6a63.jpg</v>
      </c>
      <c r="W227" s="86">
        <v>44022.531550925924</v>
      </c>
      <c r="X227" s="90">
        <v>44022</v>
      </c>
      <c r="Y227" s="92" t="s">
        <v>1016</v>
      </c>
      <c r="Z227" s="87" t="str">
        <f>HYPERLINK("https://twitter.com/posi4hope/status/1281570223699656705")</f>
        <v>https://twitter.com/posi4hope/status/1281570223699656705</v>
      </c>
      <c r="AA227" s="84"/>
      <c r="AB227" s="84"/>
      <c r="AC227" s="92" t="s">
        <v>1435</v>
      </c>
      <c r="AD227" s="84"/>
      <c r="AE227" s="84" t="b">
        <v>0</v>
      </c>
      <c r="AF227" s="84">
        <v>0</v>
      </c>
      <c r="AG227" s="92" t="s">
        <v>1724</v>
      </c>
      <c r="AH227" s="84" t="b">
        <v>0</v>
      </c>
      <c r="AI227" s="84" t="s">
        <v>1751</v>
      </c>
      <c r="AJ227" s="84"/>
      <c r="AK227" s="92" t="s">
        <v>1724</v>
      </c>
      <c r="AL227" s="84" t="b">
        <v>0</v>
      </c>
      <c r="AM227" s="84">
        <v>2</v>
      </c>
      <c r="AN227" s="92" t="s">
        <v>1434</v>
      </c>
      <c r="AO227" s="84" t="s">
        <v>1763</v>
      </c>
      <c r="AP227" s="84" t="b">
        <v>0</v>
      </c>
      <c r="AQ227" s="92" t="s">
        <v>1434</v>
      </c>
      <c r="AR227" s="84" t="s">
        <v>179</v>
      </c>
      <c r="AS227" s="84">
        <v>0</v>
      </c>
      <c r="AT227" s="84">
        <v>0</v>
      </c>
      <c r="AU227" s="84"/>
      <c r="AV227" s="84"/>
      <c r="AW227" s="84"/>
      <c r="AX227" s="84"/>
      <c r="AY227" s="84"/>
      <c r="AZ227" s="84"/>
      <c r="BA227" s="84"/>
      <c r="BB227" s="84"/>
    </row>
    <row r="228" spans="1:54" x14ac:dyDescent="0.2">
      <c r="A228" s="69" t="s">
        <v>326</v>
      </c>
      <c r="B228" s="69" t="s">
        <v>474</v>
      </c>
      <c r="C228" s="70"/>
      <c r="D228" s="71"/>
      <c r="E228" s="72"/>
      <c r="F228" s="73"/>
      <c r="G228" s="70"/>
      <c r="H228" s="74"/>
      <c r="I228" s="75"/>
      <c r="J228" s="75"/>
      <c r="K228" s="36"/>
      <c r="L228" s="82"/>
      <c r="M228" s="82"/>
      <c r="N228" s="77"/>
      <c r="O228" s="84" t="s">
        <v>502</v>
      </c>
      <c r="P228" s="86">
        <v>44022.531550925924</v>
      </c>
      <c r="Q228" s="84" t="s">
        <v>626</v>
      </c>
      <c r="R228" s="84"/>
      <c r="S228" s="84"/>
      <c r="T228" s="84" t="s">
        <v>826</v>
      </c>
      <c r="U228" s="87" t="str">
        <f t="shared" si="5"/>
        <v>https://pbs.twimg.com/ext_tw_video_thumb/1281568154653790210/pu/img/hjEIbNb0vZcI6a63.jpg</v>
      </c>
      <c r="V228" s="87" t="str">
        <f t="shared" si="5"/>
        <v>https://pbs.twimg.com/ext_tw_video_thumb/1281568154653790210/pu/img/hjEIbNb0vZcI6a63.jpg</v>
      </c>
      <c r="W228" s="86">
        <v>44022.531550925924</v>
      </c>
      <c r="X228" s="90">
        <v>44022</v>
      </c>
      <c r="Y228" s="92" t="s">
        <v>1016</v>
      </c>
      <c r="Z228" s="87" t="str">
        <f>HYPERLINK("https://twitter.com/posi4hope/status/1281570223699656705")</f>
        <v>https://twitter.com/posi4hope/status/1281570223699656705</v>
      </c>
      <c r="AA228" s="84"/>
      <c r="AB228" s="84"/>
      <c r="AC228" s="92" t="s">
        <v>1435</v>
      </c>
      <c r="AD228" s="84"/>
      <c r="AE228" s="84" t="b">
        <v>0</v>
      </c>
      <c r="AF228" s="84">
        <v>0</v>
      </c>
      <c r="AG228" s="92" t="s">
        <v>1724</v>
      </c>
      <c r="AH228" s="84" t="b">
        <v>0</v>
      </c>
      <c r="AI228" s="84" t="s">
        <v>1751</v>
      </c>
      <c r="AJ228" s="84"/>
      <c r="AK228" s="92" t="s">
        <v>1724</v>
      </c>
      <c r="AL228" s="84" t="b">
        <v>0</v>
      </c>
      <c r="AM228" s="84">
        <v>2</v>
      </c>
      <c r="AN228" s="92" t="s">
        <v>1434</v>
      </c>
      <c r="AO228" s="84" t="s">
        <v>1763</v>
      </c>
      <c r="AP228" s="84" t="b">
        <v>0</v>
      </c>
      <c r="AQ228" s="92" t="s">
        <v>1434</v>
      </c>
      <c r="AR228" s="84" t="s">
        <v>179</v>
      </c>
      <c r="AS228" s="84">
        <v>0</v>
      </c>
      <c r="AT228" s="84">
        <v>0</v>
      </c>
      <c r="AU228" s="84"/>
      <c r="AV228" s="84"/>
      <c r="AW228" s="84"/>
      <c r="AX228" s="84"/>
      <c r="AY228" s="84"/>
      <c r="AZ228" s="84"/>
      <c r="BA228" s="84"/>
      <c r="BB228" s="84"/>
    </row>
    <row r="229" spans="1:54" x14ac:dyDescent="0.2">
      <c r="A229" s="69" t="s">
        <v>324</v>
      </c>
      <c r="B229" s="69" t="s">
        <v>474</v>
      </c>
      <c r="C229" s="70"/>
      <c r="D229" s="71"/>
      <c r="E229" s="72"/>
      <c r="F229" s="73"/>
      <c r="G229" s="70"/>
      <c r="H229" s="74"/>
      <c r="I229" s="75"/>
      <c r="J229" s="75"/>
      <c r="K229" s="36"/>
      <c r="L229" s="82"/>
      <c r="M229" s="82"/>
      <c r="N229" s="77"/>
      <c r="O229" s="84" t="s">
        <v>502</v>
      </c>
      <c r="P229" s="86">
        <v>44022.526585648149</v>
      </c>
      <c r="Q229" s="84" t="s">
        <v>626</v>
      </c>
      <c r="R229" s="84"/>
      <c r="S229" s="84"/>
      <c r="T229" s="84" t="s">
        <v>826</v>
      </c>
      <c r="U229" s="87" t="str">
        <f t="shared" si="5"/>
        <v>https://pbs.twimg.com/ext_tw_video_thumb/1281568154653790210/pu/img/hjEIbNb0vZcI6a63.jpg</v>
      </c>
      <c r="V229" s="87" t="str">
        <f t="shared" si="5"/>
        <v>https://pbs.twimg.com/ext_tw_video_thumb/1281568154653790210/pu/img/hjEIbNb0vZcI6a63.jpg</v>
      </c>
      <c r="W229" s="86">
        <v>44022.526585648149</v>
      </c>
      <c r="X229" s="90">
        <v>44022</v>
      </c>
      <c r="Y229" s="92" t="s">
        <v>1014</v>
      </c>
      <c r="Z229" s="87" t="str">
        <f>HYPERLINK("https://twitter.com/godnusa/status/1281568425979129857")</f>
        <v>https://twitter.com/godnusa/status/1281568425979129857</v>
      </c>
      <c r="AA229" s="84"/>
      <c r="AB229" s="84"/>
      <c r="AC229" s="92" t="s">
        <v>1433</v>
      </c>
      <c r="AD229" s="84"/>
      <c r="AE229" s="84" t="b">
        <v>0</v>
      </c>
      <c r="AF229" s="84">
        <v>0</v>
      </c>
      <c r="AG229" s="92" t="s">
        <v>1724</v>
      </c>
      <c r="AH229" s="84" t="b">
        <v>0</v>
      </c>
      <c r="AI229" s="84" t="s">
        <v>1751</v>
      </c>
      <c r="AJ229" s="84"/>
      <c r="AK229" s="92" t="s">
        <v>1724</v>
      </c>
      <c r="AL229" s="84" t="b">
        <v>0</v>
      </c>
      <c r="AM229" s="84">
        <v>2</v>
      </c>
      <c r="AN229" s="92" t="s">
        <v>1434</v>
      </c>
      <c r="AO229" s="84" t="s">
        <v>1766</v>
      </c>
      <c r="AP229" s="84" t="b">
        <v>0</v>
      </c>
      <c r="AQ229" s="92" t="s">
        <v>1434</v>
      </c>
      <c r="AR229" s="84" t="s">
        <v>179</v>
      </c>
      <c r="AS229" s="84">
        <v>0</v>
      </c>
      <c r="AT229" s="84">
        <v>0</v>
      </c>
      <c r="AU229" s="84"/>
      <c r="AV229" s="84"/>
      <c r="AW229" s="84"/>
      <c r="AX229" s="84"/>
      <c r="AY229" s="84"/>
      <c r="AZ229" s="84"/>
      <c r="BA229" s="84"/>
      <c r="BB229" s="84"/>
    </row>
    <row r="230" spans="1:54" x14ac:dyDescent="0.2">
      <c r="A230" s="69" t="s">
        <v>324</v>
      </c>
      <c r="B230" s="69" t="s">
        <v>475</v>
      </c>
      <c r="C230" s="70"/>
      <c r="D230" s="71"/>
      <c r="E230" s="72"/>
      <c r="F230" s="73"/>
      <c r="G230" s="70"/>
      <c r="H230" s="74"/>
      <c r="I230" s="75"/>
      <c r="J230" s="75"/>
      <c r="K230" s="36"/>
      <c r="L230" s="82"/>
      <c r="M230" s="82"/>
      <c r="N230" s="77"/>
      <c r="O230" s="84" t="s">
        <v>502</v>
      </c>
      <c r="P230" s="86">
        <v>44022.526585648149</v>
      </c>
      <c r="Q230" s="84" t="s">
        <v>626</v>
      </c>
      <c r="R230" s="84"/>
      <c r="S230" s="84"/>
      <c r="T230" s="84" t="s">
        <v>826</v>
      </c>
      <c r="U230" s="87" t="str">
        <f t="shared" si="5"/>
        <v>https://pbs.twimg.com/ext_tw_video_thumb/1281568154653790210/pu/img/hjEIbNb0vZcI6a63.jpg</v>
      </c>
      <c r="V230" s="87" t="str">
        <f t="shared" si="5"/>
        <v>https://pbs.twimg.com/ext_tw_video_thumb/1281568154653790210/pu/img/hjEIbNb0vZcI6a63.jpg</v>
      </c>
      <c r="W230" s="86">
        <v>44022.526585648149</v>
      </c>
      <c r="X230" s="90">
        <v>44022</v>
      </c>
      <c r="Y230" s="92" t="s">
        <v>1014</v>
      </c>
      <c r="Z230" s="87" t="str">
        <f>HYPERLINK("https://twitter.com/godnusa/status/1281568425979129857")</f>
        <v>https://twitter.com/godnusa/status/1281568425979129857</v>
      </c>
      <c r="AA230" s="84"/>
      <c r="AB230" s="84"/>
      <c r="AC230" s="92" t="s">
        <v>1433</v>
      </c>
      <c r="AD230" s="84"/>
      <c r="AE230" s="84" t="b">
        <v>0</v>
      </c>
      <c r="AF230" s="84">
        <v>0</v>
      </c>
      <c r="AG230" s="92" t="s">
        <v>1724</v>
      </c>
      <c r="AH230" s="84" t="b">
        <v>0</v>
      </c>
      <c r="AI230" s="84" t="s">
        <v>1751</v>
      </c>
      <c r="AJ230" s="84"/>
      <c r="AK230" s="92" t="s">
        <v>1724</v>
      </c>
      <c r="AL230" s="84" t="b">
        <v>0</v>
      </c>
      <c r="AM230" s="84">
        <v>2</v>
      </c>
      <c r="AN230" s="92" t="s">
        <v>1434</v>
      </c>
      <c r="AO230" s="84" t="s">
        <v>1766</v>
      </c>
      <c r="AP230" s="84" t="b">
        <v>0</v>
      </c>
      <c r="AQ230" s="92" t="s">
        <v>1434</v>
      </c>
      <c r="AR230" s="84" t="s">
        <v>179</v>
      </c>
      <c r="AS230" s="84">
        <v>0</v>
      </c>
      <c r="AT230" s="84">
        <v>0</v>
      </c>
      <c r="AU230" s="84"/>
      <c r="AV230" s="84"/>
      <c r="AW230" s="84"/>
      <c r="AX230" s="84"/>
      <c r="AY230" s="84"/>
      <c r="AZ230" s="84"/>
      <c r="BA230" s="84"/>
      <c r="BB230" s="84"/>
    </row>
    <row r="231" spans="1:54" x14ac:dyDescent="0.2">
      <c r="A231" s="69" t="s">
        <v>324</v>
      </c>
      <c r="B231" s="69" t="s">
        <v>476</v>
      </c>
      <c r="C231" s="70"/>
      <c r="D231" s="71"/>
      <c r="E231" s="72"/>
      <c r="F231" s="73"/>
      <c r="G231" s="70"/>
      <c r="H231" s="74"/>
      <c r="I231" s="75"/>
      <c r="J231" s="75"/>
      <c r="K231" s="36"/>
      <c r="L231" s="82"/>
      <c r="M231" s="82"/>
      <c r="N231" s="77"/>
      <c r="O231" s="84" t="s">
        <v>502</v>
      </c>
      <c r="P231" s="86">
        <v>44022.526585648149</v>
      </c>
      <c r="Q231" s="84" t="s">
        <v>626</v>
      </c>
      <c r="R231" s="84"/>
      <c r="S231" s="84"/>
      <c r="T231" s="84" t="s">
        <v>826</v>
      </c>
      <c r="U231" s="87" t="str">
        <f t="shared" si="5"/>
        <v>https://pbs.twimg.com/ext_tw_video_thumb/1281568154653790210/pu/img/hjEIbNb0vZcI6a63.jpg</v>
      </c>
      <c r="V231" s="87" t="str">
        <f t="shared" si="5"/>
        <v>https://pbs.twimg.com/ext_tw_video_thumb/1281568154653790210/pu/img/hjEIbNb0vZcI6a63.jpg</v>
      </c>
      <c r="W231" s="86">
        <v>44022.526585648149</v>
      </c>
      <c r="X231" s="90">
        <v>44022</v>
      </c>
      <c r="Y231" s="92" t="s">
        <v>1014</v>
      </c>
      <c r="Z231" s="87" t="str">
        <f>HYPERLINK("https://twitter.com/godnusa/status/1281568425979129857")</f>
        <v>https://twitter.com/godnusa/status/1281568425979129857</v>
      </c>
      <c r="AA231" s="84"/>
      <c r="AB231" s="84"/>
      <c r="AC231" s="92" t="s">
        <v>1433</v>
      </c>
      <c r="AD231" s="84"/>
      <c r="AE231" s="84" t="b">
        <v>0</v>
      </c>
      <c r="AF231" s="84">
        <v>0</v>
      </c>
      <c r="AG231" s="92" t="s">
        <v>1724</v>
      </c>
      <c r="AH231" s="84" t="b">
        <v>0</v>
      </c>
      <c r="AI231" s="84" t="s">
        <v>1751</v>
      </c>
      <c r="AJ231" s="84"/>
      <c r="AK231" s="92" t="s">
        <v>1724</v>
      </c>
      <c r="AL231" s="84" t="b">
        <v>0</v>
      </c>
      <c r="AM231" s="84">
        <v>2</v>
      </c>
      <c r="AN231" s="92" t="s">
        <v>1434</v>
      </c>
      <c r="AO231" s="84" t="s">
        <v>1766</v>
      </c>
      <c r="AP231" s="84" t="b">
        <v>0</v>
      </c>
      <c r="AQ231" s="92" t="s">
        <v>1434</v>
      </c>
      <c r="AR231" s="84" t="s">
        <v>179</v>
      </c>
      <c r="AS231" s="84">
        <v>0</v>
      </c>
      <c r="AT231" s="84">
        <v>0</v>
      </c>
      <c r="AU231" s="84"/>
      <c r="AV231" s="84"/>
      <c r="AW231" s="84"/>
      <c r="AX231" s="84"/>
      <c r="AY231" s="84"/>
      <c r="AZ231" s="84"/>
      <c r="BA231" s="84"/>
      <c r="BB231" s="84"/>
    </row>
    <row r="232" spans="1:54" x14ac:dyDescent="0.2">
      <c r="A232" s="69" t="s">
        <v>324</v>
      </c>
      <c r="B232" s="69" t="s">
        <v>325</v>
      </c>
      <c r="C232" s="70"/>
      <c r="D232" s="71"/>
      <c r="E232" s="72"/>
      <c r="F232" s="73"/>
      <c r="G232" s="70"/>
      <c r="H232" s="74"/>
      <c r="I232" s="75"/>
      <c r="J232" s="75"/>
      <c r="K232" s="36"/>
      <c r="L232" s="82"/>
      <c r="M232" s="82"/>
      <c r="N232" s="77"/>
      <c r="O232" s="84" t="s">
        <v>500</v>
      </c>
      <c r="P232" s="86">
        <v>44022.526585648149</v>
      </c>
      <c r="Q232" s="84" t="s">
        <v>626</v>
      </c>
      <c r="R232" s="84"/>
      <c r="S232" s="84"/>
      <c r="T232" s="84" t="s">
        <v>826</v>
      </c>
      <c r="U232" s="87" t="str">
        <f t="shared" si="5"/>
        <v>https://pbs.twimg.com/ext_tw_video_thumb/1281568154653790210/pu/img/hjEIbNb0vZcI6a63.jpg</v>
      </c>
      <c r="V232" s="87" t="str">
        <f t="shared" si="5"/>
        <v>https://pbs.twimg.com/ext_tw_video_thumb/1281568154653790210/pu/img/hjEIbNb0vZcI6a63.jpg</v>
      </c>
      <c r="W232" s="86">
        <v>44022.526585648149</v>
      </c>
      <c r="X232" s="90">
        <v>44022</v>
      </c>
      <c r="Y232" s="92" t="s">
        <v>1014</v>
      </c>
      <c r="Z232" s="87" t="str">
        <f>HYPERLINK("https://twitter.com/godnusa/status/1281568425979129857")</f>
        <v>https://twitter.com/godnusa/status/1281568425979129857</v>
      </c>
      <c r="AA232" s="84"/>
      <c r="AB232" s="84"/>
      <c r="AC232" s="92" t="s">
        <v>1433</v>
      </c>
      <c r="AD232" s="84"/>
      <c r="AE232" s="84" t="b">
        <v>0</v>
      </c>
      <c r="AF232" s="84">
        <v>0</v>
      </c>
      <c r="AG232" s="92" t="s">
        <v>1724</v>
      </c>
      <c r="AH232" s="84" t="b">
        <v>0</v>
      </c>
      <c r="AI232" s="84" t="s">
        <v>1751</v>
      </c>
      <c r="AJ232" s="84"/>
      <c r="AK232" s="92" t="s">
        <v>1724</v>
      </c>
      <c r="AL232" s="84" t="b">
        <v>0</v>
      </c>
      <c r="AM232" s="84">
        <v>2</v>
      </c>
      <c r="AN232" s="92" t="s">
        <v>1434</v>
      </c>
      <c r="AO232" s="84" t="s">
        <v>1766</v>
      </c>
      <c r="AP232" s="84" t="b">
        <v>0</v>
      </c>
      <c r="AQ232" s="92" t="s">
        <v>1434</v>
      </c>
      <c r="AR232" s="84" t="s">
        <v>179</v>
      </c>
      <c r="AS232" s="84">
        <v>0</v>
      </c>
      <c r="AT232" s="84">
        <v>0</v>
      </c>
      <c r="AU232" s="84"/>
      <c r="AV232" s="84"/>
      <c r="AW232" s="84"/>
      <c r="AX232" s="84"/>
      <c r="AY232" s="84"/>
      <c r="AZ232" s="84"/>
      <c r="BA232" s="84"/>
      <c r="BB232" s="84"/>
    </row>
    <row r="233" spans="1:54" x14ac:dyDescent="0.2">
      <c r="A233" s="69" t="s">
        <v>324</v>
      </c>
      <c r="B233" s="69" t="s">
        <v>477</v>
      </c>
      <c r="C233" s="70"/>
      <c r="D233" s="71"/>
      <c r="E233" s="72"/>
      <c r="F233" s="73"/>
      <c r="G233" s="70"/>
      <c r="H233" s="74"/>
      <c r="I233" s="75"/>
      <c r="J233" s="75"/>
      <c r="K233" s="36"/>
      <c r="L233" s="82"/>
      <c r="M233" s="82"/>
      <c r="N233" s="77"/>
      <c r="O233" s="84" t="s">
        <v>503</v>
      </c>
      <c r="P233" s="86">
        <v>44022.526585648149</v>
      </c>
      <c r="Q233" s="84" t="s">
        <v>626</v>
      </c>
      <c r="R233" s="84"/>
      <c r="S233" s="84"/>
      <c r="T233" s="84" t="s">
        <v>826</v>
      </c>
      <c r="U233" s="87" t="str">
        <f t="shared" si="5"/>
        <v>https://pbs.twimg.com/ext_tw_video_thumb/1281568154653790210/pu/img/hjEIbNb0vZcI6a63.jpg</v>
      </c>
      <c r="V233" s="87" t="str">
        <f t="shared" si="5"/>
        <v>https://pbs.twimg.com/ext_tw_video_thumb/1281568154653790210/pu/img/hjEIbNb0vZcI6a63.jpg</v>
      </c>
      <c r="W233" s="86">
        <v>44022.526585648149</v>
      </c>
      <c r="X233" s="90">
        <v>44022</v>
      </c>
      <c r="Y233" s="92" t="s">
        <v>1014</v>
      </c>
      <c r="Z233" s="87" t="str">
        <f>HYPERLINK("https://twitter.com/godnusa/status/1281568425979129857")</f>
        <v>https://twitter.com/godnusa/status/1281568425979129857</v>
      </c>
      <c r="AA233" s="84"/>
      <c r="AB233" s="84"/>
      <c r="AC233" s="92" t="s">
        <v>1433</v>
      </c>
      <c r="AD233" s="84"/>
      <c r="AE233" s="84" t="b">
        <v>0</v>
      </c>
      <c r="AF233" s="84">
        <v>0</v>
      </c>
      <c r="AG233" s="92" t="s">
        <v>1724</v>
      </c>
      <c r="AH233" s="84" t="b">
        <v>0</v>
      </c>
      <c r="AI233" s="84" t="s">
        <v>1751</v>
      </c>
      <c r="AJ233" s="84"/>
      <c r="AK233" s="92" t="s">
        <v>1724</v>
      </c>
      <c r="AL233" s="84" t="b">
        <v>0</v>
      </c>
      <c r="AM233" s="84">
        <v>2</v>
      </c>
      <c r="AN233" s="92" t="s">
        <v>1434</v>
      </c>
      <c r="AO233" s="84" t="s">
        <v>1766</v>
      </c>
      <c r="AP233" s="84" t="b">
        <v>0</v>
      </c>
      <c r="AQ233" s="92" t="s">
        <v>1434</v>
      </c>
      <c r="AR233" s="84" t="s">
        <v>179</v>
      </c>
      <c r="AS233" s="84">
        <v>0</v>
      </c>
      <c r="AT233" s="84">
        <v>0</v>
      </c>
      <c r="AU233" s="84"/>
      <c r="AV233" s="84"/>
      <c r="AW233" s="84"/>
      <c r="AX233" s="84"/>
      <c r="AY233" s="84"/>
      <c r="AZ233" s="84"/>
      <c r="BA233" s="84"/>
      <c r="BB233" s="84"/>
    </row>
    <row r="234" spans="1:54" x14ac:dyDescent="0.2">
      <c r="A234" s="69" t="s">
        <v>325</v>
      </c>
      <c r="B234" s="69" t="s">
        <v>475</v>
      </c>
      <c r="C234" s="70"/>
      <c r="D234" s="71"/>
      <c r="E234" s="72"/>
      <c r="F234" s="73"/>
      <c r="G234" s="70"/>
      <c r="H234" s="74"/>
      <c r="I234" s="75"/>
      <c r="J234" s="75"/>
      <c r="K234" s="36"/>
      <c r="L234" s="82"/>
      <c r="M234" s="82"/>
      <c r="N234" s="77"/>
      <c r="O234" s="84" t="s">
        <v>501</v>
      </c>
      <c r="P234" s="86">
        <v>44022.526076388887</v>
      </c>
      <c r="Q234" s="84" t="s">
        <v>626</v>
      </c>
      <c r="R234" s="84"/>
      <c r="S234" s="84"/>
      <c r="T234" s="84" t="s">
        <v>826</v>
      </c>
      <c r="U234" s="87" t="str">
        <f t="shared" si="5"/>
        <v>https://pbs.twimg.com/ext_tw_video_thumb/1281568154653790210/pu/img/hjEIbNb0vZcI6a63.jpg</v>
      </c>
      <c r="V234" s="87" t="str">
        <f t="shared" si="5"/>
        <v>https://pbs.twimg.com/ext_tw_video_thumb/1281568154653790210/pu/img/hjEIbNb0vZcI6a63.jpg</v>
      </c>
      <c r="W234" s="86">
        <v>44022.526076388887</v>
      </c>
      <c r="X234" s="90">
        <v>44022</v>
      </c>
      <c r="Y234" s="92" t="s">
        <v>1015</v>
      </c>
      <c r="Z234" s="87" t="str">
        <f>HYPERLINK("https://twitter.com/yuckf0u/status/1281568239735263232")</f>
        <v>https://twitter.com/yuckf0u/status/1281568239735263232</v>
      </c>
      <c r="AA234" s="84"/>
      <c r="AB234" s="84"/>
      <c r="AC234" s="92" t="s">
        <v>1434</v>
      </c>
      <c r="AD234" s="92" t="s">
        <v>1712</v>
      </c>
      <c r="AE234" s="84" t="b">
        <v>0</v>
      </c>
      <c r="AF234" s="84">
        <v>3</v>
      </c>
      <c r="AG234" s="92" t="s">
        <v>1735</v>
      </c>
      <c r="AH234" s="84" t="b">
        <v>0</v>
      </c>
      <c r="AI234" s="84" t="s">
        <v>1751</v>
      </c>
      <c r="AJ234" s="84"/>
      <c r="AK234" s="92" t="s">
        <v>1724</v>
      </c>
      <c r="AL234" s="84" t="b">
        <v>0</v>
      </c>
      <c r="AM234" s="84">
        <v>2</v>
      </c>
      <c r="AN234" s="92" t="s">
        <v>1724</v>
      </c>
      <c r="AO234" s="84" t="s">
        <v>1766</v>
      </c>
      <c r="AP234" s="84" t="b">
        <v>0</v>
      </c>
      <c r="AQ234" s="92" t="s">
        <v>1712</v>
      </c>
      <c r="AR234" s="84" t="s">
        <v>179</v>
      </c>
      <c r="AS234" s="84">
        <v>0</v>
      </c>
      <c r="AT234" s="84">
        <v>0</v>
      </c>
      <c r="AU234" s="84"/>
      <c r="AV234" s="84"/>
      <c r="AW234" s="84"/>
      <c r="AX234" s="84"/>
      <c r="AY234" s="84"/>
      <c r="AZ234" s="84"/>
      <c r="BA234" s="84"/>
      <c r="BB234" s="84"/>
    </row>
    <row r="235" spans="1:54" x14ac:dyDescent="0.2">
      <c r="A235" s="69" t="s">
        <v>325</v>
      </c>
      <c r="B235" s="69" t="s">
        <v>476</v>
      </c>
      <c r="C235" s="70"/>
      <c r="D235" s="71"/>
      <c r="E235" s="72"/>
      <c r="F235" s="73"/>
      <c r="G235" s="70"/>
      <c r="H235" s="74"/>
      <c r="I235" s="75"/>
      <c r="J235" s="75"/>
      <c r="K235" s="36"/>
      <c r="L235" s="82"/>
      <c r="M235" s="82"/>
      <c r="N235" s="77"/>
      <c r="O235" s="84" t="s">
        <v>501</v>
      </c>
      <c r="P235" s="86">
        <v>44022.526076388887</v>
      </c>
      <c r="Q235" s="84" t="s">
        <v>626</v>
      </c>
      <c r="R235" s="84"/>
      <c r="S235" s="84"/>
      <c r="T235" s="84" t="s">
        <v>826</v>
      </c>
      <c r="U235" s="87" t="str">
        <f t="shared" si="5"/>
        <v>https://pbs.twimg.com/ext_tw_video_thumb/1281568154653790210/pu/img/hjEIbNb0vZcI6a63.jpg</v>
      </c>
      <c r="V235" s="87" t="str">
        <f t="shared" si="5"/>
        <v>https://pbs.twimg.com/ext_tw_video_thumb/1281568154653790210/pu/img/hjEIbNb0vZcI6a63.jpg</v>
      </c>
      <c r="W235" s="86">
        <v>44022.526076388887</v>
      </c>
      <c r="X235" s="90">
        <v>44022</v>
      </c>
      <c r="Y235" s="92" t="s">
        <v>1015</v>
      </c>
      <c r="Z235" s="87" t="str">
        <f>HYPERLINK("https://twitter.com/yuckf0u/status/1281568239735263232")</f>
        <v>https://twitter.com/yuckf0u/status/1281568239735263232</v>
      </c>
      <c r="AA235" s="84"/>
      <c r="AB235" s="84"/>
      <c r="AC235" s="92" t="s">
        <v>1434</v>
      </c>
      <c r="AD235" s="92" t="s">
        <v>1712</v>
      </c>
      <c r="AE235" s="84" t="b">
        <v>0</v>
      </c>
      <c r="AF235" s="84">
        <v>3</v>
      </c>
      <c r="AG235" s="92" t="s">
        <v>1735</v>
      </c>
      <c r="AH235" s="84" t="b">
        <v>0</v>
      </c>
      <c r="AI235" s="84" t="s">
        <v>1751</v>
      </c>
      <c r="AJ235" s="84"/>
      <c r="AK235" s="92" t="s">
        <v>1724</v>
      </c>
      <c r="AL235" s="84" t="b">
        <v>0</v>
      </c>
      <c r="AM235" s="84">
        <v>2</v>
      </c>
      <c r="AN235" s="92" t="s">
        <v>1724</v>
      </c>
      <c r="AO235" s="84" t="s">
        <v>1766</v>
      </c>
      <c r="AP235" s="84" t="b">
        <v>0</v>
      </c>
      <c r="AQ235" s="92" t="s">
        <v>1712</v>
      </c>
      <c r="AR235" s="84" t="s">
        <v>179</v>
      </c>
      <c r="AS235" s="84">
        <v>0</v>
      </c>
      <c r="AT235" s="84">
        <v>0</v>
      </c>
      <c r="AU235" s="84"/>
      <c r="AV235" s="84"/>
      <c r="AW235" s="84"/>
      <c r="AX235" s="84"/>
      <c r="AY235" s="84"/>
      <c r="AZ235" s="84"/>
      <c r="BA235" s="84"/>
      <c r="BB235" s="84"/>
    </row>
    <row r="236" spans="1:54" x14ac:dyDescent="0.2">
      <c r="A236" s="69" t="s">
        <v>325</v>
      </c>
      <c r="B236" s="69" t="s">
        <v>474</v>
      </c>
      <c r="C236" s="70"/>
      <c r="D236" s="71"/>
      <c r="E236" s="72"/>
      <c r="F236" s="73"/>
      <c r="G236" s="70"/>
      <c r="H236" s="74"/>
      <c r="I236" s="75"/>
      <c r="J236" s="75"/>
      <c r="K236" s="36"/>
      <c r="L236" s="82"/>
      <c r="M236" s="82"/>
      <c r="N236" s="77"/>
      <c r="O236" s="84" t="s">
        <v>501</v>
      </c>
      <c r="P236" s="86">
        <v>44022.526076388887</v>
      </c>
      <c r="Q236" s="84" t="s">
        <v>626</v>
      </c>
      <c r="R236" s="84"/>
      <c r="S236" s="84"/>
      <c r="T236" s="84" t="s">
        <v>826</v>
      </c>
      <c r="U236" s="87" t="str">
        <f t="shared" si="5"/>
        <v>https://pbs.twimg.com/ext_tw_video_thumb/1281568154653790210/pu/img/hjEIbNb0vZcI6a63.jpg</v>
      </c>
      <c r="V236" s="87" t="str">
        <f t="shared" si="5"/>
        <v>https://pbs.twimg.com/ext_tw_video_thumb/1281568154653790210/pu/img/hjEIbNb0vZcI6a63.jpg</v>
      </c>
      <c r="W236" s="86">
        <v>44022.526076388887</v>
      </c>
      <c r="X236" s="90">
        <v>44022</v>
      </c>
      <c r="Y236" s="92" t="s">
        <v>1015</v>
      </c>
      <c r="Z236" s="87" t="str">
        <f>HYPERLINK("https://twitter.com/yuckf0u/status/1281568239735263232")</f>
        <v>https://twitter.com/yuckf0u/status/1281568239735263232</v>
      </c>
      <c r="AA236" s="84"/>
      <c r="AB236" s="84"/>
      <c r="AC236" s="92" t="s">
        <v>1434</v>
      </c>
      <c r="AD236" s="92" t="s">
        <v>1712</v>
      </c>
      <c r="AE236" s="84" t="b">
        <v>0</v>
      </c>
      <c r="AF236" s="84">
        <v>3</v>
      </c>
      <c r="AG236" s="92" t="s">
        <v>1735</v>
      </c>
      <c r="AH236" s="84" t="b">
        <v>0</v>
      </c>
      <c r="AI236" s="84" t="s">
        <v>1751</v>
      </c>
      <c r="AJ236" s="84"/>
      <c r="AK236" s="92" t="s">
        <v>1724</v>
      </c>
      <c r="AL236" s="84" t="b">
        <v>0</v>
      </c>
      <c r="AM236" s="84">
        <v>2</v>
      </c>
      <c r="AN236" s="92" t="s">
        <v>1724</v>
      </c>
      <c r="AO236" s="84" t="s">
        <v>1766</v>
      </c>
      <c r="AP236" s="84" t="b">
        <v>0</v>
      </c>
      <c r="AQ236" s="92" t="s">
        <v>1712</v>
      </c>
      <c r="AR236" s="84" t="s">
        <v>179</v>
      </c>
      <c r="AS236" s="84">
        <v>0</v>
      </c>
      <c r="AT236" s="84">
        <v>0</v>
      </c>
      <c r="AU236" s="84"/>
      <c r="AV236" s="84"/>
      <c r="AW236" s="84"/>
      <c r="AX236" s="84"/>
      <c r="AY236" s="84"/>
      <c r="AZ236" s="84"/>
      <c r="BA236" s="84"/>
      <c r="BB236" s="84"/>
    </row>
    <row r="237" spans="1:54" x14ac:dyDescent="0.2">
      <c r="A237" s="69" t="s">
        <v>325</v>
      </c>
      <c r="B237" s="69" t="s">
        <v>477</v>
      </c>
      <c r="C237" s="70"/>
      <c r="D237" s="71"/>
      <c r="E237" s="72"/>
      <c r="F237" s="73"/>
      <c r="G237" s="70"/>
      <c r="H237" s="74"/>
      <c r="I237" s="75"/>
      <c r="J237" s="75"/>
      <c r="K237" s="36"/>
      <c r="L237" s="82"/>
      <c r="M237" s="82"/>
      <c r="N237" s="77"/>
      <c r="O237" s="84" t="s">
        <v>503</v>
      </c>
      <c r="P237" s="86">
        <v>44022.526076388887</v>
      </c>
      <c r="Q237" s="84" t="s">
        <v>626</v>
      </c>
      <c r="R237" s="84"/>
      <c r="S237" s="84"/>
      <c r="T237" s="84" t="s">
        <v>826</v>
      </c>
      <c r="U237" s="87" t="str">
        <f t="shared" si="5"/>
        <v>https://pbs.twimg.com/ext_tw_video_thumb/1281568154653790210/pu/img/hjEIbNb0vZcI6a63.jpg</v>
      </c>
      <c r="V237" s="87" t="str">
        <f t="shared" si="5"/>
        <v>https://pbs.twimg.com/ext_tw_video_thumb/1281568154653790210/pu/img/hjEIbNb0vZcI6a63.jpg</v>
      </c>
      <c r="W237" s="86">
        <v>44022.526076388887</v>
      </c>
      <c r="X237" s="90">
        <v>44022</v>
      </c>
      <c r="Y237" s="92" t="s">
        <v>1015</v>
      </c>
      <c r="Z237" s="87" t="str">
        <f>HYPERLINK("https://twitter.com/yuckf0u/status/1281568239735263232")</f>
        <v>https://twitter.com/yuckf0u/status/1281568239735263232</v>
      </c>
      <c r="AA237" s="84"/>
      <c r="AB237" s="84"/>
      <c r="AC237" s="92" t="s">
        <v>1434</v>
      </c>
      <c r="AD237" s="92" t="s">
        <v>1712</v>
      </c>
      <c r="AE237" s="84" t="b">
        <v>0</v>
      </c>
      <c r="AF237" s="84">
        <v>3</v>
      </c>
      <c r="AG237" s="92" t="s">
        <v>1735</v>
      </c>
      <c r="AH237" s="84" t="b">
        <v>0</v>
      </c>
      <c r="AI237" s="84" t="s">
        <v>1751</v>
      </c>
      <c r="AJ237" s="84"/>
      <c r="AK237" s="92" t="s">
        <v>1724</v>
      </c>
      <c r="AL237" s="84" t="b">
        <v>0</v>
      </c>
      <c r="AM237" s="84">
        <v>2</v>
      </c>
      <c r="AN237" s="92" t="s">
        <v>1724</v>
      </c>
      <c r="AO237" s="84" t="s">
        <v>1766</v>
      </c>
      <c r="AP237" s="84" t="b">
        <v>0</v>
      </c>
      <c r="AQ237" s="92" t="s">
        <v>1712</v>
      </c>
      <c r="AR237" s="84" t="s">
        <v>179</v>
      </c>
      <c r="AS237" s="84">
        <v>0</v>
      </c>
      <c r="AT237" s="84">
        <v>0</v>
      </c>
      <c r="AU237" s="84"/>
      <c r="AV237" s="84"/>
      <c r="AW237" s="84"/>
      <c r="AX237" s="84"/>
      <c r="AY237" s="84"/>
      <c r="AZ237" s="84"/>
      <c r="BA237" s="84"/>
      <c r="BB237" s="84"/>
    </row>
    <row r="238" spans="1:54" x14ac:dyDescent="0.2">
      <c r="A238" s="69" t="s">
        <v>439</v>
      </c>
      <c r="B238" s="69" t="s">
        <v>439</v>
      </c>
      <c r="C238" s="70"/>
      <c r="D238" s="71"/>
      <c r="E238" s="72"/>
      <c r="F238" s="73"/>
      <c r="G238" s="70"/>
      <c r="H238" s="74"/>
      <c r="I238" s="75"/>
      <c r="J238" s="75"/>
      <c r="K238" s="36"/>
      <c r="L238" s="82"/>
      <c r="M238" s="82"/>
      <c r="N238" s="77"/>
      <c r="O238" s="84" t="s">
        <v>179</v>
      </c>
      <c r="P238" s="86">
        <v>44022.483055555553</v>
      </c>
      <c r="Q238" s="84" t="s">
        <v>731</v>
      </c>
      <c r="R238" s="84"/>
      <c r="S238" s="84"/>
      <c r="T238" s="84" t="s">
        <v>781</v>
      </c>
      <c r="U238" s="84"/>
      <c r="V238" s="87" t="str">
        <f>HYPERLINK("http://pbs.twimg.com/profile_images/1059879923182034944/PfS-PQsO_normal.jpg")</f>
        <v>http://pbs.twimg.com/profile_images/1059879923182034944/PfS-PQsO_normal.jpg</v>
      </c>
      <c r="W238" s="86">
        <v>44022.483055555553</v>
      </c>
      <c r="X238" s="90">
        <v>44022</v>
      </c>
      <c r="Y238" s="92" t="s">
        <v>1221</v>
      </c>
      <c r="Z238" s="87" t="str">
        <f>HYPERLINK("https://twitter.com/pokemon_fumi/status/1281552648764710915")</f>
        <v>https://twitter.com/pokemon_fumi/status/1281552648764710915</v>
      </c>
      <c r="AA238" s="84"/>
      <c r="AB238" s="84"/>
      <c r="AC238" s="92" t="s">
        <v>1642</v>
      </c>
      <c r="AD238" s="84"/>
      <c r="AE238" s="84" t="b">
        <v>0</v>
      </c>
      <c r="AF238" s="84">
        <v>1</v>
      </c>
      <c r="AG238" s="92" t="s">
        <v>1724</v>
      </c>
      <c r="AH238" s="84" t="b">
        <v>0</v>
      </c>
      <c r="AI238" s="84" t="s">
        <v>1750</v>
      </c>
      <c r="AJ238" s="84"/>
      <c r="AK238" s="92" t="s">
        <v>1724</v>
      </c>
      <c r="AL238" s="84" t="b">
        <v>0</v>
      </c>
      <c r="AM238" s="84">
        <v>0</v>
      </c>
      <c r="AN238" s="92" t="s">
        <v>1724</v>
      </c>
      <c r="AO238" s="84" t="s">
        <v>1764</v>
      </c>
      <c r="AP238" s="84" t="b">
        <v>0</v>
      </c>
      <c r="AQ238" s="92" t="s">
        <v>1642</v>
      </c>
      <c r="AR238" s="84" t="s">
        <v>179</v>
      </c>
      <c r="AS238" s="84">
        <v>0</v>
      </c>
      <c r="AT238" s="84">
        <v>0</v>
      </c>
      <c r="AU238" s="84"/>
      <c r="AV238" s="84"/>
      <c r="AW238" s="84"/>
      <c r="AX238" s="84"/>
      <c r="AY238" s="84"/>
      <c r="AZ238" s="84"/>
      <c r="BA238" s="84"/>
      <c r="BB238" s="84"/>
    </row>
    <row r="239" spans="1:54" x14ac:dyDescent="0.2">
      <c r="A239" s="69" t="s">
        <v>323</v>
      </c>
      <c r="B239" s="69" t="s">
        <v>323</v>
      </c>
      <c r="C239" s="70"/>
      <c r="D239" s="71"/>
      <c r="E239" s="72"/>
      <c r="F239" s="73"/>
      <c r="G239" s="70"/>
      <c r="H239" s="74"/>
      <c r="I239" s="75"/>
      <c r="J239" s="75"/>
      <c r="K239" s="36"/>
      <c r="L239" s="82"/>
      <c r="M239" s="82"/>
      <c r="N239" s="77"/>
      <c r="O239" s="84" t="s">
        <v>179</v>
      </c>
      <c r="P239" s="86">
        <v>44022.465451388889</v>
      </c>
      <c r="Q239" s="84" t="s">
        <v>625</v>
      </c>
      <c r="R239" s="87" t="str">
        <f>HYPERLINK("https://twitter.com/OGmk23797/status/1281525031000928256")</f>
        <v>https://twitter.com/OGmk23797/status/1281525031000928256</v>
      </c>
      <c r="S239" s="84" t="s">
        <v>755</v>
      </c>
      <c r="T239" s="84" t="s">
        <v>825</v>
      </c>
      <c r="U239" s="84"/>
      <c r="V239" s="87" t="str">
        <f>HYPERLINK("http://pbs.twimg.com/profile_images/1254432121474539520/NZCUf-1J_normal.jpg")</f>
        <v>http://pbs.twimg.com/profile_images/1254432121474539520/NZCUf-1J_normal.jpg</v>
      </c>
      <c r="W239" s="86">
        <v>44022.465451388889</v>
      </c>
      <c r="X239" s="90">
        <v>44022</v>
      </c>
      <c r="Y239" s="92" t="s">
        <v>1013</v>
      </c>
      <c r="Z239" s="87" t="str">
        <f>HYPERLINK("https://twitter.com/whitecrow331/status/1281546271308705792")</f>
        <v>https://twitter.com/whitecrow331/status/1281546271308705792</v>
      </c>
      <c r="AA239" s="84"/>
      <c r="AB239" s="84"/>
      <c r="AC239" s="92" t="s">
        <v>1432</v>
      </c>
      <c r="AD239" s="84"/>
      <c r="AE239" s="84" t="b">
        <v>0</v>
      </c>
      <c r="AF239" s="84">
        <v>1</v>
      </c>
      <c r="AG239" s="92" t="s">
        <v>1724</v>
      </c>
      <c r="AH239" s="84" t="b">
        <v>1</v>
      </c>
      <c r="AI239" s="84" t="s">
        <v>1750</v>
      </c>
      <c r="AJ239" s="84"/>
      <c r="AK239" s="92" t="s">
        <v>1760</v>
      </c>
      <c r="AL239" s="84" t="b">
        <v>0</v>
      </c>
      <c r="AM239" s="84">
        <v>0</v>
      </c>
      <c r="AN239" s="92" t="s">
        <v>1724</v>
      </c>
      <c r="AO239" s="84" t="s">
        <v>1764</v>
      </c>
      <c r="AP239" s="84" t="b">
        <v>0</v>
      </c>
      <c r="AQ239" s="92" t="s">
        <v>1432</v>
      </c>
      <c r="AR239" s="84" t="s">
        <v>179</v>
      </c>
      <c r="AS239" s="84">
        <v>0</v>
      </c>
      <c r="AT239" s="84">
        <v>0</v>
      </c>
      <c r="AU239" s="84"/>
      <c r="AV239" s="84"/>
      <c r="AW239" s="84"/>
      <c r="AX239" s="84"/>
      <c r="AY239" s="84"/>
      <c r="AZ239" s="84"/>
      <c r="BA239" s="84"/>
      <c r="BB239" s="84"/>
    </row>
    <row r="240" spans="1:54" x14ac:dyDescent="0.2">
      <c r="A240" s="69" t="s">
        <v>322</v>
      </c>
      <c r="B240" s="69" t="s">
        <v>322</v>
      </c>
      <c r="C240" s="70"/>
      <c r="D240" s="71"/>
      <c r="E240" s="72"/>
      <c r="F240" s="73"/>
      <c r="G240" s="70"/>
      <c r="H240" s="74"/>
      <c r="I240" s="75"/>
      <c r="J240" s="75"/>
      <c r="K240" s="36"/>
      <c r="L240" s="82"/>
      <c r="M240" s="82"/>
      <c r="N240" s="77"/>
      <c r="O240" s="84" t="s">
        <v>179</v>
      </c>
      <c r="P240" s="86">
        <v>44022.370937500003</v>
      </c>
      <c r="Q240" s="84" t="s">
        <v>623</v>
      </c>
      <c r="R240" s="84"/>
      <c r="S240" s="84"/>
      <c r="T240" s="84" t="s">
        <v>824</v>
      </c>
      <c r="U240" s="87" t="str">
        <f>HYPERLINK("https://pbs.twimg.com/media/EcjYYT0UwAEdjqf.jpg")</f>
        <v>https://pbs.twimg.com/media/EcjYYT0UwAEdjqf.jpg</v>
      </c>
      <c r="V240" s="87" t="str">
        <f>HYPERLINK("https://pbs.twimg.com/media/EcjYYT0UwAEdjqf.jpg")</f>
        <v>https://pbs.twimg.com/media/EcjYYT0UwAEdjqf.jpg</v>
      </c>
      <c r="W240" s="86">
        <v>44022.370937500003</v>
      </c>
      <c r="X240" s="90">
        <v>44022</v>
      </c>
      <c r="Y240" s="92" t="s">
        <v>1011</v>
      </c>
      <c r="Z240" s="87" t="str">
        <f>HYPERLINK("https://twitter.com/m_liverbird1892/status/1281512019061927938")</f>
        <v>https://twitter.com/m_liverbird1892/status/1281512019061927938</v>
      </c>
      <c r="AA240" s="84"/>
      <c r="AB240" s="84"/>
      <c r="AC240" s="92" t="s">
        <v>1430</v>
      </c>
      <c r="AD240" s="84"/>
      <c r="AE240" s="84" t="b">
        <v>0</v>
      </c>
      <c r="AF240" s="84">
        <v>0</v>
      </c>
      <c r="AG240" s="92" t="s">
        <v>1724</v>
      </c>
      <c r="AH240" s="84" t="b">
        <v>0</v>
      </c>
      <c r="AI240" s="84" t="s">
        <v>1750</v>
      </c>
      <c r="AJ240" s="84"/>
      <c r="AK240" s="92" t="s">
        <v>1724</v>
      </c>
      <c r="AL240" s="84" t="b">
        <v>0</v>
      </c>
      <c r="AM240" s="84">
        <v>0</v>
      </c>
      <c r="AN240" s="92" t="s">
        <v>1724</v>
      </c>
      <c r="AO240" s="84" t="s">
        <v>1763</v>
      </c>
      <c r="AP240" s="84" t="b">
        <v>0</v>
      </c>
      <c r="AQ240" s="92" t="s">
        <v>1430</v>
      </c>
      <c r="AR240" s="84" t="s">
        <v>179</v>
      </c>
      <c r="AS240" s="84">
        <v>0</v>
      </c>
      <c r="AT240" s="84">
        <v>0</v>
      </c>
      <c r="AU240" s="84"/>
      <c r="AV240" s="84"/>
      <c r="AW240" s="84"/>
      <c r="AX240" s="84"/>
      <c r="AY240" s="84"/>
      <c r="AZ240" s="84"/>
      <c r="BA240" s="84"/>
      <c r="BB240" s="84"/>
    </row>
    <row r="241" spans="1:54" x14ac:dyDescent="0.2">
      <c r="A241" s="69" t="s">
        <v>357</v>
      </c>
      <c r="B241" s="69" t="s">
        <v>409</v>
      </c>
      <c r="C241" s="70"/>
      <c r="D241" s="71"/>
      <c r="E241" s="72"/>
      <c r="F241" s="73"/>
      <c r="G241" s="70"/>
      <c r="H241" s="74"/>
      <c r="I241" s="75"/>
      <c r="J241" s="75"/>
      <c r="K241" s="36"/>
      <c r="L241" s="82"/>
      <c r="M241" s="82"/>
      <c r="N241" s="77"/>
      <c r="O241" s="84" t="s">
        <v>500</v>
      </c>
      <c r="P241" s="86">
        <v>44022.366238425922</v>
      </c>
      <c r="Q241" s="84" t="s">
        <v>665</v>
      </c>
      <c r="R241" s="84"/>
      <c r="S241" s="84"/>
      <c r="T241" s="84" t="s">
        <v>781</v>
      </c>
      <c r="U241" s="87" t="str">
        <f t="shared" ref="U241:V243" si="6">HYPERLINK("https://pbs.twimg.com/media/EcjVo5TUMAApswY.jpg")</f>
        <v>https://pbs.twimg.com/media/EcjVo5TUMAApswY.jpg</v>
      </c>
      <c r="V241" s="87" t="str">
        <f t="shared" si="6"/>
        <v>https://pbs.twimg.com/media/EcjVo5TUMAApswY.jpg</v>
      </c>
      <c r="W241" s="86">
        <v>44022.366238425922</v>
      </c>
      <c r="X241" s="90">
        <v>44022</v>
      </c>
      <c r="Y241" s="92" t="s">
        <v>1074</v>
      </c>
      <c r="Z241" s="87" t="str">
        <f>HYPERLINK("https://twitter.com/magicalthorn/status/1281510316187082752")</f>
        <v>https://twitter.com/magicalthorn/status/1281510316187082752</v>
      </c>
      <c r="AA241" s="84"/>
      <c r="AB241" s="84"/>
      <c r="AC241" s="92" t="s">
        <v>1493</v>
      </c>
      <c r="AD241" s="84"/>
      <c r="AE241" s="84" t="b">
        <v>0</v>
      </c>
      <c r="AF241" s="84">
        <v>0</v>
      </c>
      <c r="AG241" s="92" t="s">
        <v>1724</v>
      </c>
      <c r="AH241" s="84" t="b">
        <v>0</v>
      </c>
      <c r="AI241" s="84" t="s">
        <v>1750</v>
      </c>
      <c r="AJ241" s="84"/>
      <c r="AK241" s="92" t="s">
        <v>1724</v>
      </c>
      <c r="AL241" s="84" t="b">
        <v>0</v>
      </c>
      <c r="AM241" s="84">
        <v>2</v>
      </c>
      <c r="AN241" s="92" t="s">
        <v>1594</v>
      </c>
      <c r="AO241" s="84" t="s">
        <v>1766</v>
      </c>
      <c r="AP241" s="84" t="b">
        <v>0</v>
      </c>
      <c r="AQ241" s="92" t="s">
        <v>1594</v>
      </c>
      <c r="AR241" s="84" t="s">
        <v>179</v>
      </c>
      <c r="AS241" s="84">
        <v>0</v>
      </c>
      <c r="AT241" s="84">
        <v>0</v>
      </c>
      <c r="AU241" s="84"/>
      <c r="AV241" s="84"/>
      <c r="AW241" s="84"/>
      <c r="AX241" s="84"/>
      <c r="AY241" s="84"/>
      <c r="AZ241" s="84"/>
      <c r="BA241" s="84"/>
      <c r="BB241" s="84"/>
    </row>
    <row r="242" spans="1:54" x14ac:dyDescent="0.2">
      <c r="A242" s="69" t="s">
        <v>407</v>
      </c>
      <c r="B242" s="69" t="s">
        <v>409</v>
      </c>
      <c r="C242" s="70"/>
      <c r="D242" s="71"/>
      <c r="E242" s="72"/>
      <c r="F242" s="73"/>
      <c r="G242" s="70"/>
      <c r="H242" s="74"/>
      <c r="I242" s="75"/>
      <c r="J242" s="75"/>
      <c r="K242" s="36"/>
      <c r="L242" s="82"/>
      <c r="M242" s="82"/>
      <c r="N242" s="77"/>
      <c r="O242" s="84" t="s">
        <v>500</v>
      </c>
      <c r="P242" s="86">
        <v>44022.363125000003</v>
      </c>
      <c r="Q242" s="84" t="s">
        <v>665</v>
      </c>
      <c r="R242" s="84"/>
      <c r="S242" s="84"/>
      <c r="T242" s="84" t="s">
        <v>781</v>
      </c>
      <c r="U242" s="87" t="str">
        <f t="shared" si="6"/>
        <v>https://pbs.twimg.com/media/EcjVo5TUMAApswY.jpg</v>
      </c>
      <c r="V242" s="87" t="str">
        <f t="shared" si="6"/>
        <v>https://pbs.twimg.com/media/EcjVo5TUMAApswY.jpg</v>
      </c>
      <c r="W242" s="86">
        <v>44022.363125000003</v>
      </c>
      <c r="X242" s="90">
        <v>44022</v>
      </c>
      <c r="Y242" s="92" t="s">
        <v>1145</v>
      </c>
      <c r="Z242" s="87" t="str">
        <f>HYPERLINK("https://twitter.com/55yankeee/status/1281509189181833216")</f>
        <v>https://twitter.com/55yankeee/status/1281509189181833216</v>
      </c>
      <c r="AA242" s="84"/>
      <c r="AB242" s="84"/>
      <c r="AC242" s="92" t="s">
        <v>1566</v>
      </c>
      <c r="AD242" s="84"/>
      <c r="AE242" s="84" t="b">
        <v>0</v>
      </c>
      <c r="AF242" s="84">
        <v>0</v>
      </c>
      <c r="AG242" s="92" t="s">
        <v>1724</v>
      </c>
      <c r="AH242" s="84" t="b">
        <v>0</v>
      </c>
      <c r="AI242" s="84" t="s">
        <v>1750</v>
      </c>
      <c r="AJ242" s="84"/>
      <c r="AK242" s="92" t="s">
        <v>1724</v>
      </c>
      <c r="AL242" s="84" t="b">
        <v>0</v>
      </c>
      <c r="AM242" s="84">
        <v>2</v>
      </c>
      <c r="AN242" s="92" t="s">
        <v>1594</v>
      </c>
      <c r="AO242" s="84" t="s">
        <v>1763</v>
      </c>
      <c r="AP242" s="84" t="b">
        <v>0</v>
      </c>
      <c r="AQ242" s="92" t="s">
        <v>1594</v>
      </c>
      <c r="AR242" s="84" t="s">
        <v>179</v>
      </c>
      <c r="AS242" s="84">
        <v>0</v>
      </c>
      <c r="AT242" s="84">
        <v>0</v>
      </c>
      <c r="AU242" s="84"/>
      <c r="AV242" s="84"/>
      <c r="AW242" s="84"/>
      <c r="AX242" s="84"/>
      <c r="AY242" s="84"/>
      <c r="AZ242" s="84"/>
      <c r="BA242" s="84"/>
      <c r="BB242" s="84"/>
    </row>
    <row r="243" spans="1:54" x14ac:dyDescent="0.2">
      <c r="A243" s="69" t="s">
        <v>409</v>
      </c>
      <c r="B243" s="69" t="s">
        <v>409</v>
      </c>
      <c r="C243" s="70"/>
      <c r="D243" s="71"/>
      <c r="E243" s="72"/>
      <c r="F243" s="73"/>
      <c r="G243" s="70"/>
      <c r="H243" s="74"/>
      <c r="I243" s="75"/>
      <c r="J243" s="75"/>
      <c r="K243" s="36"/>
      <c r="L243" s="82"/>
      <c r="M243" s="82"/>
      <c r="N243" s="77"/>
      <c r="O243" s="84" t="s">
        <v>179</v>
      </c>
      <c r="P243" s="86">
        <v>44022.362592592595</v>
      </c>
      <c r="Q243" s="84" t="s">
        <v>665</v>
      </c>
      <c r="R243" s="84"/>
      <c r="S243" s="84"/>
      <c r="T243" s="84" t="s">
        <v>781</v>
      </c>
      <c r="U243" s="87" t="str">
        <f t="shared" si="6"/>
        <v>https://pbs.twimg.com/media/EcjVo5TUMAApswY.jpg</v>
      </c>
      <c r="V243" s="87" t="str">
        <f t="shared" si="6"/>
        <v>https://pbs.twimg.com/media/EcjVo5TUMAApswY.jpg</v>
      </c>
      <c r="W243" s="86">
        <v>44022.362592592595</v>
      </c>
      <c r="X243" s="90">
        <v>44022</v>
      </c>
      <c r="Y243" s="92" t="s">
        <v>1173</v>
      </c>
      <c r="Z243" s="87" t="str">
        <f>HYPERLINK("https://twitter.com/sinxsan/status/1281508997070086145")</f>
        <v>https://twitter.com/sinxsan/status/1281508997070086145</v>
      </c>
      <c r="AA243" s="84"/>
      <c r="AB243" s="84"/>
      <c r="AC243" s="92" t="s">
        <v>1594</v>
      </c>
      <c r="AD243" s="84"/>
      <c r="AE243" s="84" t="b">
        <v>0</v>
      </c>
      <c r="AF243" s="84">
        <v>5</v>
      </c>
      <c r="AG243" s="92" t="s">
        <v>1724</v>
      </c>
      <c r="AH243" s="84" t="b">
        <v>0</v>
      </c>
      <c r="AI243" s="84" t="s">
        <v>1750</v>
      </c>
      <c r="AJ243" s="84"/>
      <c r="AK243" s="92" t="s">
        <v>1724</v>
      </c>
      <c r="AL243" s="84" t="b">
        <v>0</v>
      </c>
      <c r="AM243" s="84">
        <v>2</v>
      </c>
      <c r="AN243" s="92" t="s">
        <v>1724</v>
      </c>
      <c r="AO243" s="84" t="s">
        <v>1763</v>
      </c>
      <c r="AP243" s="84" t="b">
        <v>0</v>
      </c>
      <c r="AQ243" s="92" t="s">
        <v>1594</v>
      </c>
      <c r="AR243" s="84" t="s">
        <v>179</v>
      </c>
      <c r="AS243" s="84">
        <v>0</v>
      </c>
      <c r="AT243" s="84">
        <v>0</v>
      </c>
      <c r="AU243" s="84"/>
      <c r="AV243" s="84"/>
      <c r="AW243" s="84"/>
      <c r="AX243" s="84"/>
      <c r="AY243" s="84"/>
      <c r="AZ243" s="84"/>
      <c r="BA243" s="84"/>
      <c r="BB243" s="84"/>
    </row>
    <row r="244" spans="1:54" x14ac:dyDescent="0.2">
      <c r="A244" s="69" t="s">
        <v>409</v>
      </c>
      <c r="B244" s="69" t="s">
        <v>409</v>
      </c>
      <c r="C244" s="70"/>
      <c r="D244" s="71"/>
      <c r="E244" s="72"/>
      <c r="F244" s="73"/>
      <c r="G244" s="70"/>
      <c r="H244" s="74"/>
      <c r="I244" s="75"/>
      <c r="J244" s="75"/>
      <c r="K244" s="36"/>
      <c r="L244" s="82"/>
      <c r="M244" s="82"/>
      <c r="N244" s="77"/>
      <c r="O244" s="84" t="s">
        <v>179</v>
      </c>
      <c r="P244" s="86">
        <v>44022.359513888892</v>
      </c>
      <c r="Q244" s="84" t="s">
        <v>705</v>
      </c>
      <c r="R244" s="84"/>
      <c r="S244" s="84"/>
      <c r="T244" s="84" t="s">
        <v>781</v>
      </c>
      <c r="U244" s="84"/>
      <c r="V244" s="87" t="str">
        <f>HYPERLINK("http://pbs.twimg.com/profile_images/1236668333157519361/R8t7DbMO_normal.jpg")</f>
        <v>http://pbs.twimg.com/profile_images/1236668333157519361/R8t7DbMO_normal.jpg</v>
      </c>
      <c r="W244" s="86">
        <v>44022.359513888892</v>
      </c>
      <c r="X244" s="90">
        <v>44022</v>
      </c>
      <c r="Y244" s="92" t="s">
        <v>1172</v>
      </c>
      <c r="Z244" s="87" t="str">
        <f>HYPERLINK("https://twitter.com/sinxsan/status/1281507879904632832")</f>
        <v>https://twitter.com/sinxsan/status/1281507879904632832</v>
      </c>
      <c r="AA244" s="84"/>
      <c r="AB244" s="84"/>
      <c r="AC244" s="92" t="s">
        <v>1593</v>
      </c>
      <c r="AD244" s="92" t="s">
        <v>1592</v>
      </c>
      <c r="AE244" s="84" t="b">
        <v>0</v>
      </c>
      <c r="AF244" s="84">
        <v>5</v>
      </c>
      <c r="AG244" s="92" t="s">
        <v>1740</v>
      </c>
      <c r="AH244" s="84" t="b">
        <v>0</v>
      </c>
      <c r="AI244" s="84" t="s">
        <v>1750</v>
      </c>
      <c r="AJ244" s="84"/>
      <c r="AK244" s="92" t="s">
        <v>1724</v>
      </c>
      <c r="AL244" s="84" t="b">
        <v>0</v>
      </c>
      <c r="AM244" s="84">
        <v>0</v>
      </c>
      <c r="AN244" s="92" t="s">
        <v>1724</v>
      </c>
      <c r="AO244" s="84" t="s">
        <v>1763</v>
      </c>
      <c r="AP244" s="84" t="b">
        <v>0</v>
      </c>
      <c r="AQ244" s="92" t="s">
        <v>1592</v>
      </c>
      <c r="AR244" s="84" t="s">
        <v>179</v>
      </c>
      <c r="AS244" s="84">
        <v>0</v>
      </c>
      <c r="AT244" s="84">
        <v>0</v>
      </c>
      <c r="AU244" s="84"/>
      <c r="AV244" s="84"/>
      <c r="AW244" s="84"/>
      <c r="AX244" s="84"/>
      <c r="AY244" s="84"/>
      <c r="AZ244" s="84"/>
      <c r="BA244" s="84"/>
      <c r="BB244" s="84"/>
    </row>
    <row r="245" spans="1:54" x14ac:dyDescent="0.2">
      <c r="A245" s="69" t="s">
        <v>400</v>
      </c>
      <c r="B245" s="69" t="s">
        <v>400</v>
      </c>
      <c r="C245" s="70"/>
      <c r="D245" s="71"/>
      <c r="E245" s="72"/>
      <c r="F245" s="73"/>
      <c r="G245" s="70"/>
      <c r="H245" s="74"/>
      <c r="I245" s="75"/>
      <c r="J245" s="75"/>
      <c r="K245" s="36"/>
      <c r="L245" s="82"/>
      <c r="M245" s="82"/>
      <c r="N245" s="77"/>
      <c r="O245" s="84" t="s">
        <v>179</v>
      </c>
      <c r="P245" s="86">
        <v>44022.354363425926</v>
      </c>
      <c r="Q245" s="84" t="s">
        <v>586</v>
      </c>
      <c r="R245" s="87" t="str">
        <f>HYPERLINK("https://m.facebook.com/anunknownkraftsman")</f>
        <v>https://m.facebook.com/anunknownkraftsman</v>
      </c>
      <c r="S245" s="84" t="s">
        <v>772</v>
      </c>
      <c r="T245" s="84" t="s">
        <v>842</v>
      </c>
      <c r="U245" s="84"/>
      <c r="V245" s="87" t="str">
        <f>HYPERLINK("http://pbs.twimg.com/profile_images/1142556013167632391/vMubfzN-_normal.jpg")</f>
        <v>http://pbs.twimg.com/profile_images/1142556013167632391/vMubfzN-_normal.jpg</v>
      </c>
      <c r="W245" s="86">
        <v>44022.354363425926</v>
      </c>
      <c r="X245" s="90">
        <v>44022</v>
      </c>
      <c r="Y245" s="92" t="s">
        <v>1137</v>
      </c>
      <c r="Z245" s="87" t="str">
        <f>HYPERLINK("https://twitter.com/hc_mmoor1868/status/1281506014966231040")</f>
        <v>https://twitter.com/hc_mmoor1868/status/1281506014966231040</v>
      </c>
      <c r="AA245" s="84"/>
      <c r="AB245" s="84"/>
      <c r="AC245" s="92" t="s">
        <v>1556</v>
      </c>
      <c r="AD245" s="84"/>
      <c r="AE245" s="84" t="b">
        <v>0</v>
      </c>
      <c r="AF245" s="84">
        <v>0</v>
      </c>
      <c r="AG245" s="92" t="s">
        <v>1724</v>
      </c>
      <c r="AH245" s="84" t="b">
        <v>0</v>
      </c>
      <c r="AI245" s="84" t="s">
        <v>1751</v>
      </c>
      <c r="AJ245" s="84"/>
      <c r="AK245" s="92" t="s">
        <v>1724</v>
      </c>
      <c r="AL245" s="84" t="b">
        <v>0</v>
      </c>
      <c r="AM245" s="84">
        <v>0</v>
      </c>
      <c r="AN245" s="92" t="s">
        <v>1724</v>
      </c>
      <c r="AO245" s="84" t="s">
        <v>1783</v>
      </c>
      <c r="AP245" s="84" t="b">
        <v>0</v>
      </c>
      <c r="AQ245" s="92" t="s">
        <v>1556</v>
      </c>
      <c r="AR245" s="84" t="s">
        <v>179</v>
      </c>
      <c r="AS245" s="84">
        <v>0</v>
      </c>
      <c r="AT245" s="84">
        <v>0</v>
      </c>
      <c r="AU245" s="84"/>
      <c r="AV245" s="84"/>
      <c r="AW245" s="84"/>
      <c r="AX245" s="84"/>
      <c r="AY245" s="84"/>
      <c r="AZ245" s="84"/>
      <c r="BA245" s="84"/>
      <c r="BB245" s="84"/>
    </row>
    <row r="246" spans="1:54" x14ac:dyDescent="0.2">
      <c r="A246" s="69" t="s">
        <v>319</v>
      </c>
      <c r="B246" s="69" t="s">
        <v>319</v>
      </c>
      <c r="C246" s="70"/>
      <c r="D246" s="71"/>
      <c r="E246" s="72"/>
      <c r="F246" s="73"/>
      <c r="G246" s="70"/>
      <c r="H246" s="74"/>
      <c r="I246" s="75"/>
      <c r="J246" s="75"/>
      <c r="K246" s="36"/>
      <c r="L246" s="82"/>
      <c r="M246" s="82"/>
      <c r="N246" s="77"/>
      <c r="O246" s="84" t="s">
        <v>179</v>
      </c>
      <c r="P246" s="86">
        <v>44022.294166666667</v>
      </c>
      <c r="Q246" s="84" t="s">
        <v>622</v>
      </c>
      <c r="R246" s="84"/>
      <c r="S246" s="84"/>
      <c r="T246" s="84" t="s">
        <v>781</v>
      </c>
      <c r="U246" s="84"/>
      <c r="V246" s="87" t="str">
        <f>HYPERLINK("http://pbs.twimg.com/profile_images/1234029170780299264/4wlxNbMl_normal.jpg")</f>
        <v>http://pbs.twimg.com/profile_images/1234029170780299264/4wlxNbMl_normal.jpg</v>
      </c>
      <c r="W246" s="86">
        <v>44022.294166666667</v>
      </c>
      <c r="X246" s="90">
        <v>44022</v>
      </c>
      <c r="Y246" s="92" t="s">
        <v>1010</v>
      </c>
      <c r="Z246" s="87" t="str">
        <f>HYPERLINK("https://twitter.com/jte3j/status/1281484197442449408")</f>
        <v>https://twitter.com/jte3j/status/1281484197442449408</v>
      </c>
      <c r="AA246" s="84"/>
      <c r="AB246" s="84"/>
      <c r="AC246" s="92" t="s">
        <v>1429</v>
      </c>
      <c r="AD246" s="84"/>
      <c r="AE246" s="84" t="b">
        <v>0</v>
      </c>
      <c r="AF246" s="84">
        <v>2</v>
      </c>
      <c r="AG246" s="92" t="s">
        <v>1724</v>
      </c>
      <c r="AH246" s="84" t="b">
        <v>0</v>
      </c>
      <c r="AI246" s="84" t="s">
        <v>1750</v>
      </c>
      <c r="AJ246" s="84"/>
      <c r="AK246" s="92" t="s">
        <v>1724</v>
      </c>
      <c r="AL246" s="84" t="b">
        <v>0</v>
      </c>
      <c r="AM246" s="84">
        <v>0</v>
      </c>
      <c r="AN246" s="92" t="s">
        <v>1724</v>
      </c>
      <c r="AO246" s="84" t="s">
        <v>1763</v>
      </c>
      <c r="AP246" s="84" t="b">
        <v>0</v>
      </c>
      <c r="AQ246" s="92" t="s">
        <v>1429</v>
      </c>
      <c r="AR246" s="84" t="s">
        <v>179</v>
      </c>
      <c r="AS246" s="84">
        <v>0</v>
      </c>
      <c r="AT246" s="84">
        <v>0</v>
      </c>
      <c r="AU246" s="84"/>
      <c r="AV246" s="84"/>
      <c r="AW246" s="84"/>
      <c r="AX246" s="84"/>
      <c r="AY246" s="84"/>
      <c r="AZ246" s="84"/>
      <c r="BA246" s="84"/>
      <c r="BB246" s="84"/>
    </row>
    <row r="247" spans="1:54" x14ac:dyDescent="0.2">
      <c r="A247" s="69" t="s">
        <v>408</v>
      </c>
      <c r="B247" s="69" t="s">
        <v>408</v>
      </c>
      <c r="C247" s="70"/>
      <c r="D247" s="71"/>
      <c r="E247" s="72"/>
      <c r="F247" s="73"/>
      <c r="G247" s="70"/>
      <c r="H247" s="74"/>
      <c r="I247" s="75"/>
      <c r="J247" s="75"/>
      <c r="K247" s="36"/>
      <c r="L247" s="82"/>
      <c r="M247" s="82"/>
      <c r="N247" s="77"/>
      <c r="O247" s="84" t="s">
        <v>179</v>
      </c>
      <c r="P247" s="86">
        <v>44022.256724537037</v>
      </c>
      <c r="Q247" s="84" t="s">
        <v>698</v>
      </c>
      <c r="R247" s="84"/>
      <c r="S247" s="84"/>
      <c r="T247" s="84" t="s">
        <v>846</v>
      </c>
      <c r="U247" s="84"/>
      <c r="V247" s="87" t="str">
        <f>HYPERLINK("http://pbs.twimg.com/profile_images/1262859678121263104/DecomVhL_normal.jpg")</f>
        <v>http://pbs.twimg.com/profile_images/1262859678121263104/DecomVhL_normal.jpg</v>
      </c>
      <c r="W247" s="86">
        <v>44022.256724537037</v>
      </c>
      <c r="X247" s="90">
        <v>44022</v>
      </c>
      <c r="Y247" s="92" t="s">
        <v>1155</v>
      </c>
      <c r="Z247" s="87" t="str">
        <f>HYPERLINK("https://twitter.com/hirocos2/status/1281470630026567688")</f>
        <v>https://twitter.com/hirocos2/status/1281470630026567688</v>
      </c>
      <c r="AA247" s="84"/>
      <c r="AB247" s="84"/>
      <c r="AC247" s="92" t="s">
        <v>1576</v>
      </c>
      <c r="AD247" s="84"/>
      <c r="AE247" s="84" t="b">
        <v>0</v>
      </c>
      <c r="AF247" s="84">
        <v>28</v>
      </c>
      <c r="AG247" s="92" t="s">
        <v>1724</v>
      </c>
      <c r="AH247" s="84" t="b">
        <v>0</v>
      </c>
      <c r="AI247" s="84" t="s">
        <v>1750</v>
      </c>
      <c r="AJ247" s="84"/>
      <c r="AK247" s="92" t="s">
        <v>1724</v>
      </c>
      <c r="AL247" s="84" t="b">
        <v>0</v>
      </c>
      <c r="AM247" s="84">
        <v>0</v>
      </c>
      <c r="AN247" s="92" t="s">
        <v>1724</v>
      </c>
      <c r="AO247" s="84" t="s">
        <v>1763</v>
      </c>
      <c r="AP247" s="84" t="b">
        <v>0</v>
      </c>
      <c r="AQ247" s="92" t="s">
        <v>1576</v>
      </c>
      <c r="AR247" s="84" t="s">
        <v>179</v>
      </c>
      <c r="AS247" s="84">
        <v>0</v>
      </c>
      <c r="AT247" s="84">
        <v>0</v>
      </c>
      <c r="AU247" s="84"/>
      <c r="AV247" s="84"/>
      <c r="AW247" s="84"/>
      <c r="AX247" s="84"/>
      <c r="AY247" s="84"/>
      <c r="AZ247" s="84"/>
      <c r="BA247" s="84"/>
      <c r="BB247" s="84"/>
    </row>
    <row r="248" spans="1:54" x14ac:dyDescent="0.2">
      <c r="A248" s="69" t="s">
        <v>359</v>
      </c>
      <c r="B248" s="69" t="s">
        <v>359</v>
      </c>
      <c r="C248" s="70"/>
      <c r="D248" s="71"/>
      <c r="E248" s="72"/>
      <c r="F248" s="73"/>
      <c r="G248" s="70"/>
      <c r="H248" s="74"/>
      <c r="I248" s="75"/>
      <c r="J248" s="75"/>
      <c r="K248" s="36"/>
      <c r="L248" s="82"/>
      <c r="M248" s="82"/>
      <c r="N248" s="77"/>
      <c r="O248" s="84" t="s">
        <v>179</v>
      </c>
      <c r="P248" s="86">
        <v>44022.130069444444</v>
      </c>
      <c r="Q248" s="84" t="s">
        <v>671</v>
      </c>
      <c r="R248" s="84"/>
      <c r="S248" s="84"/>
      <c r="T248" s="84" t="s">
        <v>780</v>
      </c>
      <c r="U248" s="87" t="str">
        <f>HYPERLINK("https://pbs.twimg.com/media/EciJADXU8AA4ml0.jpg")</f>
        <v>https://pbs.twimg.com/media/EciJADXU8AA4ml0.jpg</v>
      </c>
      <c r="V248" s="87" t="str">
        <f>HYPERLINK("https://pbs.twimg.com/media/EciJADXU8AA4ml0.jpg")</f>
        <v>https://pbs.twimg.com/media/EciJADXU8AA4ml0.jpg</v>
      </c>
      <c r="W248" s="86">
        <v>44022.130069444444</v>
      </c>
      <c r="X248" s="90">
        <v>44022</v>
      </c>
      <c r="Y248" s="92" t="s">
        <v>1080</v>
      </c>
      <c r="Z248" s="87" t="str">
        <f>HYPERLINK("https://twitter.com/hiho_3tafe/status/1281424733787938816")</f>
        <v>https://twitter.com/hiho_3tafe/status/1281424733787938816</v>
      </c>
      <c r="AA248" s="84"/>
      <c r="AB248" s="84"/>
      <c r="AC248" s="92" t="s">
        <v>1499</v>
      </c>
      <c r="AD248" s="84"/>
      <c r="AE248" s="84" t="b">
        <v>0</v>
      </c>
      <c r="AF248" s="84">
        <v>5</v>
      </c>
      <c r="AG248" s="92" t="s">
        <v>1724</v>
      </c>
      <c r="AH248" s="84" t="b">
        <v>0</v>
      </c>
      <c r="AI248" s="84" t="s">
        <v>1750</v>
      </c>
      <c r="AJ248" s="84"/>
      <c r="AK248" s="92" t="s">
        <v>1724</v>
      </c>
      <c r="AL248" s="84" t="b">
        <v>0</v>
      </c>
      <c r="AM248" s="84">
        <v>0</v>
      </c>
      <c r="AN248" s="92" t="s">
        <v>1724</v>
      </c>
      <c r="AO248" s="84" t="s">
        <v>1763</v>
      </c>
      <c r="AP248" s="84" t="b">
        <v>0</v>
      </c>
      <c r="AQ248" s="92" t="s">
        <v>1499</v>
      </c>
      <c r="AR248" s="84" t="s">
        <v>179</v>
      </c>
      <c r="AS248" s="84">
        <v>0</v>
      </c>
      <c r="AT248" s="84">
        <v>0</v>
      </c>
      <c r="AU248" s="84"/>
      <c r="AV248" s="84"/>
      <c r="AW248" s="84"/>
      <c r="AX248" s="84"/>
      <c r="AY248" s="84"/>
      <c r="AZ248" s="84"/>
      <c r="BA248" s="84"/>
      <c r="BB248" s="84"/>
    </row>
    <row r="249" spans="1:54" x14ac:dyDescent="0.2">
      <c r="A249" s="69" t="s">
        <v>318</v>
      </c>
      <c r="B249" s="69" t="s">
        <v>318</v>
      </c>
      <c r="C249" s="70"/>
      <c r="D249" s="71"/>
      <c r="E249" s="72"/>
      <c r="F249" s="73"/>
      <c r="G249" s="70"/>
      <c r="H249" s="74"/>
      <c r="I249" s="75"/>
      <c r="J249" s="75"/>
      <c r="K249" s="36"/>
      <c r="L249" s="82"/>
      <c r="M249" s="82"/>
      <c r="N249" s="77"/>
      <c r="O249" s="84" t="s">
        <v>179</v>
      </c>
      <c r="P249" s="86">
        <v>44022.116087962961</v>
      </c>
      <c r="Q249" s="84" t="s">
        <v>617</v>
      </c>
      <c r="R249" s="84"/>
      <c r="S249" s="84"/>
      <c r="T249" s="84" t="s">
        <v>781</v>
      </c>
      <c r="U249" s="84"/>
      <c r="V249" s="87" t="str">
        <f>HYPERLINK("http://pbs.twimg.com/profile_images/1262735374498988035/ztC5MJ9M_normal.jpg")</f>
        <v>http://pbs.twimg.com/profile_images/1262735374498988035/ztC5MJ9M_normal.jpg</v>
      </c>
      <c r="W249" s="86">
        <v>44022.116087962961</v>
      </c>
      <c r="X249" s="90">
        <v>44022</v>
      </c>
      <c r="Y249" s="92" t="s">
        <v>1004</v>
      </c>
      <c r="Z249" s="87" t="str">
        <f>HYPERLINK("https://twitter.com/osumashipokemon/status/1281419664195596288")</f>
        <v>https://twitter.com/osumashipokemon/status/1281419664195596288</v>
      </c>
      <c r="AA249" s="84"/>
      <c r="AB249" s="84"/>
      <c r="AC249" s="92" t="s">
        <v>1423</v>
      </c>
      <c r="AD249" s="84"/>
      <c r="AE249" s="84" t="b">
        <v>0</v>
      </c>
      <c r="AF249" s="84">
        <v>0</v>
      </c>
      <c r="AG249" s="92" t="s">
        <v>1724</v>
      </c>
      <c r="AH249" s="84" t="b">
        <v>0</v>
      </c>
      <c r="AI249" s="84" t="s">
        <v>1750</v>
      </c>
      <c r="AJ249" s="84"/>
      <c r="AK249" s="92" t="s">
        <v>1724</v>
      </c>
      <c r="AL249" s="84" t="b">
        <v>0</v>
      </c>
      <c r="AM249" s="84">
        <v>0</v>
      </c>
      <c r="AN249" s="92" t="s">
        <v>1724</v>
      </c>
      <c r="AO249" s="84" t="s">
        <v>1763</v>
      </c>
      <c r="AP249" s="84" t="b">
        <v>0</v>
      </c>
      <c r="AQ249" s="92" t="s">
        <v>1423</v>
      </c>
      <c r="AR249" s="84" t="s">
        <v>179</v>
      </c>
      <c r="AS249" s="84">
        <v>0</v>
      </c>
      <c r="AT249" s="84">
        <v>0</v>
      </c>
      <c r="AU249" s="84"/>
      <c r="AV249" s="84"/>
      <c r="AW249" s="84"/>
      <c r="AX249" s="84"/>
      <c r="AY249" s="84"/>
      <c r="AZ249" s="84"/>
      <c r="BA249" s="84"/>
      <c r="BB249" s="84"/>
    </row>
    <row r="250" spans="1:54" x14ac:dyDescent="0.2">
      <c r="A250" s="69" t="s">
        <v>317</v>
      </c>
      <c r="B250" s="69" t="s">
        <v>317</v>
      </c>
      <c r="C250" s="70"/>
      <c r="D250" s="71"/>
      <c r="E250" s="72"/>
      <c r="F250" s="73"/>
      <c r="G250" s="70"/>
      <c r="H250" s="74"/>
      <c r="I250" s="75"/>
      <c r="J250" s="75"/>
      <c r="K250" s="36"/>
      <c r="L250" s="82"/>
      <c r="M250" s="82"/>
      <c r="N250" s="77"/>
      <c r="O250" s="84" t="s">
        <v>179</v>
      </c>
      <c r="P250" s="86">
        <v>44022.081747685188</v>
      </c>
      <c r="Q250" s="84" t="s">
        <v>616</v>
      </c>
      <c r="R250" s="84"/>
      <c r="S250" s="84"/>
      <c r="T250" s="84" t="s">
        <v>781</v>
      </c>
      <c r="U250" s="87" t="str">
        <f>HYPERLINK("https://pbs.twimg.com/media/Ech5E39UEAA8a5S.jpg")</f>
        <v>https://pbs.twimg.com/media/Ech5E39UEAA8a5S.jpg</v>
      </c>
      <c r="V250" s="87" t="str">
        <f>HYPERLINK("https://pbs.twimg.com/media/Ech5E39UEAA8a5S.jpg")</f>
        <v>https://pbs.twimg.com/media/Ech5E39UEAA8a5S.jpg</v>
      </c>
      <c r="W250" s="86">
        <v>44022.081747685188</v>
      </c>
      <c r="X250" s="90">
        <v>44022</v>
      </c>
      <c r="Y250" s="92" t="s">
        <v>1003</v>
      </c>
      <c r="Z250" s="87" t="str">
        <f>HYPERLINK("https://twitter.com/bo_ku_chan_/status/1281407222627463168")</f>
        <v>https://twitter.com/bo_ku_chan_/status/1281407222627463168</v>
      </c>
      <c r="AA250" s="84"/>
      <c r="AB250" s="84"/>
      <c r="AC250" s="92" t="s">
        <v>1422</v>
      </c>
      <c r="AD250" s="84"/>
      <c r="AE250" s="84" t="b">
        <v>0</v>
      </c>
      <c r="AF250" s="84">
        <v>1</v>
      </c>
      <c r="AG250" s="92" t="s">
        <v>1724</v>
      </c>
      <c r="AH250" s="84" t="b">
        <v>0</v>
      </c>
      <c r="AI250" s="84" t="s">
        <v>1750</v>
      </c>
      <c r="AJ250" s="84"/>
      <c r="AK250" s="92" t="s">
        <v>1724</v>
      </c>
      <c r="AL250" s="84" t="b">
        <v>0</v>
      </c>
      <c r="AM250" s="84">
        <v>0</v>
      </c>
      <c r="AN250" s="92" t="s">
        <v>1724</v>
      </c>
      <c r="AO250" s="84" t="s">
        <v>1764</v>
      </c>
      <c r="AP250" s="84" t="b">
        <v>0</v>
      </c>
      <c r="AQ250" s="92" t="s">
        <v>1422</v>
      </c>
      <c r="AR250" s="84" t="s">
        <v>179</v>
      </c>
      <c r="AS250" s="84">
        <v>0</v>
      </c>
      <c r="AT250" s="84">
        <v>0</v>
      </c>
      <c r="AU250" s="84"/>
      <c r="AV250" s="84"/>
      <c r="AW250" s="84"/>
      <c r="AX250" s="84"/>
      <c r="AY250" s="84"/>
      <c r="AZ250" s="84"/>
      <c r="BA250" s="84"/>
      <c r="BB250" s="84"/>
    </row>
    <row r="251" spans="1:54" x14ac:dyDescent="0.2">
      <c r="A251" s="69" t="s">
        <v>316</v>
      </c>
      <c r="B251" s="69" t="s">
        <v>316</v>
      </c>
      <c r="C251" s="70"/>
      <c r="D251" s="71"/>
      <c r="E251" s="72"/>
      <c r="F251" s="73"/>
      <c r="G251" s="70"/>
      <c r="H251" s="74"/>
      <c r="I251" s="75"/>
      <c r="J251" s="75"/>
      <c r="K251" s="36"/>
      <c r="L251" s="82"/>
      <c r="M251" s="82"/>
      <c r="N251" s="77"/>
      <c r="O251" s="84" t="s">
        <v>179</v>
      </c>
      <c r="P251" s="86">
        <v>44022.010682870372</v>
      </c>
      <c r="Q251" s="84" t="s">
        <v>614</v>
      </c>
      <c r="R251" s="87" t="str">
        <f>HYPERLINK("https://www.ebay.com/itm/Ray-Ban-Denim-Wayfarer-Sunglasses-RB2140-Blue-/174246174362")</f>
        <v>https://www.ebay.com/itm/Ray-Ban-Denim-Wayfarer-Sunglasses-RB2140-Blue-/174246174362</v>
      </c>
      <c r="S251" s="84" t="s">
        <v>773</v>
      </c>
      <c r="T251" s="84" t="s">
        <v>823</v>
      </c>
      <c r="U251" s="87" t="str">
        <f>HYPERLINK("https://pbs.twimg.com/media/EchhpzjWkAAlvW3.jpg")</f>
        <v>https://pbs.twimg.com/media/EchhpzjWkAAlvW3.jpg</v>
      </c>
      <c r="V251" s="87" t="str">
        <f>HYPERLINK("https://pbs.twimg.com/media/EchhpzjWkAAlvW3.jpg")</f>
        <v>https://pbs.twimg.com/media/EchhpzjWkAAlvW3.jpg</v>
      </c>
      <c r="W251" s="86">
        <v>44022.010682870372</v>
      </c>
      <c r="X251" s="90">
        <v>44022</v>
      </c>
      <c r="Y251" s="92" t="s">
        <v>1001</v>
      </c>
      <c r="Z251" s="87" t="str">
        <f>HYPERLINK("https://twitter.com/esquireattire/status/1281381466111451137")</f>
        <v>https://twitter.com/esquireattire/status/1281381466111451137</v>
      </c>
      <c r="AA251" s="84"/>
      <c r="AB251" s="84"/>
      <c r="AC251" s="92" t="s">
        <v>1420</v>
      </c>
      <c r="AD251" s="84"/>
      <c r="AE251" s="84" t="b">
        <v>0</v>
      </c>
      <c r="AF251" s="84">
        <v>0</v>
      </c>
      <c r="AG251" s="92" t="s">
        <v>1724</v>
      </c>
      <c r="AH251" s="84" t="b">
        <v>0</v>
      </c>
      <c r="AI251" s="84" t="s">
        <v>1751</v>
      </c>
      <c r="AJ251" s="84"/>
      <c r="AK251" s="92" t="s">
        <v>1724</v>
      </c>
      <c r="AL251" s="84" t="b">
        <v>0</v>
      </c>
      <c r="AM251" s="84">
        <v>0</v>
      </c>
      <c r="AN251" s="92" t="s">
        <v>1724</v>
      </c>
      <c r="AO251" s="84" t="s">
        <v>1780</v>
      </c>
      <c r="AP251" s="84" t="b">
        <v>0</v>
      </c>
      <c r="AQ251" s="92" t="s">
        <v>1420</v>
      </c>
      <c r="AR251" s="84" t="s">
        <v>179</v>
      </c>
      <c r="AS251" s="84">
        <v>0</v>
      </c>
      <c r="AT251" s="84">
        <v>0</v>
      </c>
      <c r="AU251" s="84"/>
      <c r="AV251" s="84"/>
      <c r="AW251" s="84"/>
      <c r="AX251" s="84"/>
      <c r="AY251" s="84"/>
      <c r="AZ251" s="84"/>
      <c r="BA251" s="84"/>
      <c r="BB251" s="84"/>
    </row>
    <row r="252" spans="1:54" x14ac:dyDescent="0.2">
      <c r="A252" s="69" t="s">
        <v>438</v>
      </c>
      <c r="B252" s="69" t="s">
        <v>438</v>
      </c>
      <c r="C252" s="70"/>
      <c r="D252" s="71"/>
      <c r="E252" s="72"/>
      <c r="F252" s="73"/>
      <c r="G252" s="70"/>
      <c r="H252" s="74"/>
      <c r="I252" s="75"/>
      <c r="J252" s="75"/>
      <c r="K252" s="36"/>
      <c r="L252" s="82"/>
      <c r="M252" s="82"/>
      <c r="N252" s="77"/>
      <c r="O252" s="84" t="s">
        <v>179</v>
      </c>
      <c r="P252" s="86">
        <v>44021.931006944447</v>
      </c>
      <c r="Q252" s="84" t="s">
        <v>728</v>
      </c>
      <c r="R252" s="84"/>
      <c r="S252" s="84"/>
      <c r="T252" s="84" t="s">
        <v>853</v>
      </c>
      <c r="U252" s="87" t="str">
        <f>HYPERLINK("https://pbs.twimg.com/media/EchHZOVU8AAddGI.jpg")</f>
        <v>https://pbs.twimg.com/media/EchHZOVU8AAddGI.jpg</v>
      </c>
      <c r="V252" s="87" t="str">
        <f>HYPERLINK("https://pbs.twimg.com/media/EchHZOVU8AAddGI.jpg")</f>
        <v>https://pbs.twimg.com/media/EchHZOVU8AAddGI.jpg</v>
      </c>
      <c r="W252" s="86">
        <v>44021.931006944447</v>
      </c>
      <c r="X252" s="90">
        <v>44021</v>
      </c>
      <c r="Y252" s="92" t="s">
        <v>1216</v>
      </c>
      <c r="Z252" s="87" t="str">
        <f>HYPERLINK("https://twitter.com/ueji24/status/1281352595148206080")</f>
        <v>https://twitter.com/ueji24/status/1281352595148206080</v>
      </c>
      <c r="AA252" s="84"/>
      <c r="AB252" s="84"/>
      <c r="AC252" s="92" t="s">
        <v>1637</v>
      </c>
      <c r="AD252" s="84"/>
      <c r="AE252" s="84" t="b">
        <v>0</v>
      </c>
      <c r="AF252" s="84">
        <v>1</v>
      </c>
      <c r="AG252" s="92" t="s">
        <v>1724</v>
      </c>
      <c r="AH252" s="84" t="b">
        <v>0</v>
      </c>
      <c r="AI252" s="84" t="s">
        <v>1750</v>
      </c>
      <c r="AJ252" s="84"/>
      <c r="AK252" s="92" t="s">
        <v>1724</v>
      </c>
      <c r="AL252" s="84" t="b">
        <v>0</v>
      </c>
      <c r="AM252" s="84">
        <v>0</v>
      </c>
      <c r="AN252" s="92" t="s">
        <v>1724</v>
      </c>
      <c r="AO252" s="84" t="s">
        <v>1764</v>
      </c>
      <c r="AP252" s="84" t="b">
        <v>0</v>
      </c>
      <c r="AQ252" s="92" t="s">
        <v>1637</v>
      </c>
      <c r="AR252" s="84" t="s">
        <v>179</v>
      </c>
      <c r="AS252" s="84">
        <v>0</v>
      </c>
      <c r="AT252" s="84">
        <v>0</v>
      </c>
      <c r="AU252" s="84"/>
      <c r="AV252" s="84"/>
      <c r="AW252" s="84"/>
      <c r="AX252" s="84"/>
      <c r="AY252" s="84"/>
      <c r="AZ252" s="84"/>
      <c r="BA252" s="84"/>
      <c r="BB252" s="84"/>
    </row>
    <row r="253" spans="1:54" x14ac:dyDescent="0.2">
      <c r="A253" s="69" t="s">
        <v>315</v>
      </c>
      <c r="B253" s="69" t="s">
        <v>315</v>
      </c>
      <c r="C253" s="70"/>
      <c r="D253" s="71"/>
      <c r="E253" s="72"/>
      <c r="F253" s="73"/>
      <c r="G253" s="70"/>
      <c r="H253" s="74"/>
      <c r="I253" s="75"/>
      <c r="J253" s="75"/>
      <c r="K253" s="36"/>
      <c r="L253" s="82"/>
      <c r="M253" s="82"/>
      <c r="N253" s="77"/>
      <c r="O253" s="84" t="s">
        <v>179</v>
      </c>
      <c r="P253" s="86">
        <v>44021.916655092595</v>
      </c>
      <c r="Q253" s="84" t="s">
        <v>609</v>
      </c>
      <c r="R253" s="84"/>
      <c r="S253" s="84"/>
      <c r="T253" s="84" t="s">
        <v>781</v>
      </c>
      <c r="U253" s="87" t="str">
        <f>HYPERLINK("https://pbs.twimg.com/media/EchCqT1VcAEwVeV.jpg")</f>
        <v>https://pbs.twimg.com/media/EchCqT1VcAEwVeV.jpg</v>
      </c>
      <c r="V253" s="87" t="str">
        <f>HYPERLINK("https://pbs.twimg.com/media/EchCqT1VcAEwVeV.jpg")</f>
        <v>https://pbs.twimg.com/media/EchCqT1VcAEwVeV.jpg</v>
      </c>
      <c r="W253" s="86">
        <v>44021.916655092595</v>
      </c>
      <c r="X253" s="90">
        <v>44021</v>
      </c>
      <c r="Y253" s="92" t="s">
        <v>996</v>
      </c>
      <c r="Z253" s="87" t="str">
        <f>HYPERLINK("https://twitter.com/hot__mikan/status/1281347392634097664")</f>
        <v>https://twitter.com/hot__mikan/status/1281347392634097664</v>
      </c>
      <c r="AA253" s="84"/>
      <c r="AB253" s="84"/>
      <c r="AC253" s="92" t="s">
        <v>1415</v>
      </c>
      <c r="AD253" s="84"/>
      <c r="AE253" s="84" t="b">
        <v>0</v>
      </c>
      <c r="AF253" s="84">
        <v>1</v>
      </c>
      <c r="AG253" s="92" t="s">
        <v>1724</v>
      </c>
      <c r="AH253" s="84" t="b">
        <v>0</v>
      </c>
      <c r="AI253" s="84" t="s">
        <v>1750</v>
      </c>
      <c r="AJ253" s="84"/>
      <c r="AK253" s="92" t="s">
        <v>1724</v>
      </c>
      <c r="AL253" s="84" t="b">
        <v>0</v>
      </c>
      <c r="AM253" s="84">
        <v>0</v>
      </c>
      <c r="AN253" s="92" t="s">
        <v>1724</v>
      </c>
      <c r="AO253" s="84" t="s">
        <v>1763</v>
      </c>
      <c r="AP253" s="84" t="b">
        <v>0</v>
      </c>
      <c r="AQ253" s="92" t="s">
        <v>1415</v>
      </c>
      <c r="AR253" s="84" t="s">
        <v>179</v>
      </c>
      <c r="AS253" s="84">
        <v>0</v>
      </c>
      <c r="AT253" s="84">
        <v>0</v>
      </c>
      <c r="AU253" s="84"/>
      <c r="AV253" s="84"/>
      <c r="AW253" s="84"/>
      <c r="AX253" s="84"/>
      <c r="AY253" s="84"/>
      <c r="AZ253" s="84"/>
      <c r="BA253" s="84"/>
      <c r="BB253" s="84"/>
    </row>
    <row r="254" spans="1:54" x14ac:dyDescent="0.2">
      <c r="A254" s="69" t="s">
        <v>409</v>
      </c>
      <c r="B254" s="69" t="s">
        <v>409</v>
      </c>
      <c r="C254" s="70"/>
      <c r="D254" s="71"/>
      <c r="E254" s="72"/>
      <c r="F254" s="73"/>
      <c r="G254" s="70"/>
      <c r="H254" s="74"/>
      <c r="I254" s="75"/>
      <c r="J254" s="75"/>
      <c r="K254" s="36"/>
      <c r="L254" s="82"/>
      <c r="M254" s="82"/>
      <c r="N254" s="77"/>
      <c r="O254" s="84" t="s">
        <v>179</v>
      </c>
      <c r="P254" s="86">
        <v>44021.915868055556</v>
      </c>
      <c r="Q254" s="84" t="s">
        <v>704</v>
      </c>
      <c r="R254" s="84"/>
      <c r="S254" s="84"/>
      <c r="T254" s="84" t="s">
        <v>781</v>
      </c>
      <c r="U254" s="84"/>
      <c r="V254" s="87" t="str">
        <f>HYPERLINK("http://pbs.twimg.com/profile_images/1236668333157519361/R8t7DbMO_normal.jpg")</f>
        <v>http://pbs.twimg.com/profile_images/1236668333157519361/R8t7DbMO_normal.jpg</v>
      </c>
      <c r="W254" s="86">
        <v>44021.915868055556</v>
      </c>
      <c r="X254" s="90">
        <v>44021</v>
      </c>
      <c r="Y254" s="92" t="s">
        <v>1171</v>
      </c>
      <c r="Z254" s="87" t="str">
        <f>HYPERLINK("https://twitter.com/sinxsan/status/1281347107236900866")</f>
        <v>https://twitter.com/sinxsan/status/1281347107236900866</v>
      </c>
      <c r="AA254" s="84"/>
      <c r="AB254" s="84"/>
      <c r="AC254" s="92" t="s">
        <v>1592</v>
      </c>
      <c r="AD254" s="92" t="s">
        <v>1591</v>
      </c>
      <c r="AE254" s="84" t="b">
        <v>0</v>
      </c>
      <c r="AF254" s="84">
        <v>4</v>
      </c>
      <c r="AG254" s="92" t="s">
        <v>1740</v>
      </c>
      <c r="AH254" s="84" t="b">
        <v>0</v>
      </c>
      <c r="AI254" s="84" t="s">
        <v>1750</v>
      </c>
      <c r="AJ254" s="84"/>
      <c r="AK254" s="92" t="s">
        <v>1724</v>
      </c>
      <c r="AL254" s="84" t="b">
        <v>0</v>
      </c>
      <c r="AM254" s="84">
        <v>0</v>
      </c>
      <c r="AN254" s="92" t="s">
        <v>1724</v>
      </c>
      <c r="AO254" s="84" t="s">
        <v>1763</v>
      </c>
      <c r="AP254" s="84" t="b">
        <v>0</v>
      </c>
      <c r="AQ254" s="92" t="s">
        <v>1591</v>
      </c>
      <c r="AR254" s="84" t="s">
        <v>179</v>
      </c>
      <c r="AS254" s="84">
        <v>0</v>
      </c>
      <c r="AT254" s="84">
        <v>0</v>
      </c>
      <c r="AU254" s="84"/>
      <c r="AV254" s="84"/>
      <c r="AW254" s="84"/>
      <c r="AX254" s="84"/>
      <c r="AY254" s="84"/>
      <c r="AZ254" s="84"/>
      <c r="BA254" s="84"/>
      <c r="BB254" s="84"/>
    </row>
    <row r="255" spans="1:54" x14ac:dyDescent="0.2">
      <c r="A255" s="69" t="s">
        <v>314</v>
      </c>
      <c r="B255" s="69" t="s">
        <v>314</v>
      </c>
      <c r="C255" s="70"/>
      <c r="D255" s="71"/>
      <c r="E255" s="72"/>
      <c r="F255" s="73"/>
      <c r="G255" s="70"/>
      <c r="H255" s="74"/>
      <c r="I255" s="75"/>
      <c r="J255" s="75"/>
      <c r="K255" s="36"/>
      <c r="L255" s="82"/>
      <c r="M255" s="82"/>
      <c r="N255" s="77"/>
      <c r="O255" s="84" t="s">
        <v>179</v>
      </c>
      <c r="P255" s="86">
        <v>44021.904618055552</v>
      </c>
      <c r="Q255" s="84" t="s">
        <v>608</v>
      </c>
      <c r="R255" s="84"/>
      <c r="S255" s="84"/>
      <c r="T255" s="84" t="s">
        <v>819</v>
      </c>
      <c r="U255" s="87" t="str">
        <f>HYPERLINK("https://pbs.twimg.com/media/Ecg-sVjU0AAmiUU.jpg")</f>
        <v>https://pbs.twimg.com/media/Ecg-sVjU0AAmiUU.jpg</v>
      </c>
      <c r="V255" s="87" t="str">
        <f>HYPERLINK("https://pbs.twimg.com/media/Ecg-sVjU0AAmiUU.jpg")</f>
        <v>https://pbs.twimg.com/media/Ecg-sVjU0AAmiUU.jpg</v>
      </c>
      <c r="W255" s="86">
        <v>44021.904618055552</v>
      </c>
      <c r="X255" s="90">
        <v>44021</v>
      </c>
      <c r="Y255" s="92" t="s">
        <v>995</v>
      </c>
      <c r="Z255" s="87" t="str">
        <f>HYPERLINK("https://twitter.com/coolportraitgil/status/1281343031363305472")</f>
        <v>https://twitter.com/coolportraitgil/status/1281343031363305472</v>
      </c>
      <c r="AA255" s="84"/>
      <c r="AB255" s="84"/>
      <c r="AC255" s="92" t="s">
        <v>1414</v>
      </c>
      <c r="AD255" s="84"/>
      <c r="AE255" s="84" t="b">
        <v>0</v>
      </c>
      <c r="AF255" s="84">
        <v>1</v>
      </c>
      <c r="AG255" s="92" t="s">
        <v>1724</v>
      </c>
      <c r="AH255" s="84" t="b">
        <v>0</v>
      </c>
      <c r="AI255" s="84" t="s">
        <v>1750</v>
      </c>
      <c r="AJ255" s="84"/>
      <c r="AK255" s="92" t="s">
        <v>1724</v>
      </c>
      <c r="AL255" s="84" t="b">
        <v>0</v>
      </c>
      <c r="AM255" s="84">
        <v>0</v>
      </c>
      <c r="AN255" s="92" t="s">
        <v>1724</v>
      </c>
      <c r="AO255" s="84" t="s">
        <v>1763</v>
      </c>
      <c r="AP255" s="84" t="b">
        <v>0</v>
      </c>
      <c r="AQ255" s="92" t="s">
        <v>1414</v>
      </c>
      <c r="AR255" s="84" t="s">
        <v>179</v>
      </c>
      <c r="AS255" s="84">
        <v>0</v>
      </c>
      <c r="AT255" s="84">
        <v>0</v>
      </c>
      <c r="AU255" s="84"/>
      <c r="AV255" s="84"/>
      <c r="AW255" s="84"/>
      <c r="AX255" s="84"/>
      <c r="AY255" s="84"/>
      <c r="AZ255" s="84"/>
      <c r="BA255" s="84"/>
      <c r="BB255" s="84"/>
    </row>
    <row r="256" spans="1:54" x14ac:dyDescent="0.2">
      <c r="A256" s="69" t="s">
        <v>314</v>
      </c>
      <c r="B256" s="69" t="s">
        <v>314</v>
      </c>
      <c r="C256" s="70"/>
      <c r="D256" s="71"/>
      <c r="E256" s="72"/>
      <c r="F256" s="73"/>
      <c r="G256" s="70"/>
      <c r="H256" s="74"/>
      <c r="I256" s="75"/>
      <c r="J256" s="75"/>
      <c r="K256" s="36"/>
      <c r="L256" s="82"/>
      <c r="M256" s="82"/>
      <c r="N256" s="77"/>
      <c r="O256" s="84" t="s">
        <v>179</v>
      </c>
      <c r="P256" s="86">
        <v>44021.903692129628</v>
      </c>
      <c r="Q256" s="84" t="s">
        <v>607</v>
      </c>
      <c r="R256" s="84"/>
      <c r="S256" s="84"/>
      <c r="T256" s="84" t="s">
        <v>819</v>
      </c>
      <c r="U256" s="87" t="str">
        <f>HYPERLINK("https://pbs.twimg.com/media/Ecg-Y1QVAAA2w--.jpg")</f>
        <v>https://pbs.twimg.com/media/Ecg-Y1QVAAA2w--.jpg</v>
      </c>
      <c r="V256" s="87" t="str">
        <f>HYPERLINK("https://pbs.twimg.com/media/Ecg-Y1QVAAA2w--.jpg")</f>
        <v>https://pbs.twimg.com/media/Ecg-Y1QVAAA2w--.jpg</v>
      </c>
      <c r="W256" s="86">
        <v>44021.903692129628</v>
      </c>
      <c r="X256" s="90">
        <v>44021</v>
      </c>
      <c r="Y256" s="92" t="s">
        <v>994</v>
      </c>
      <c r="Z256" s="87" t="str">
        <f>HYPERLINK("https://twitter.com/coolportraitgil/status/1281342695605059584")</f>
        <v>https://twitter.com/coolportraitgil/status/1281342695605059584</v>
      </c>
      <c r="AA256" s="84"/>
      <c r="AB256" s="84"/>
      <c r="AC256" s="92" t="s">
        <v>1413</v>
      </c>
      <c r="AD256" s="84"/>
      <c r="AE256" s="84" t="b">
        <v>0</v>
      </c>
      <c r="AF256" s="84">
        <v>0</v>
      </c>
      <c r="AG256" s="92" t="s">
        <v>1724</v>
      </c>
      <c r="AH256" s="84" t="b">
        <v>0</v>
      </c>
      <c r="AI256" s="84" t="s">
        <v>1750</v>
      </c>
      <c r="AJ256" s="84"/>
      <c r="AK256" s="92" t="s">
        <v>1724</v>
      </c>
      <c r="AL256" s="84" t="b">
        <v>0</v>
      </c>
      <c r="AM256" s="84">
        <v>0</v>
      </c>
      <c r="AN256" s="92" t="s">
        <v>1724</v>
      </c>
      <c r="AO256" s="84" t="s">
        <v>1763</v>
      </c>
      <c r="AP256" s="84" t="b">
        <v>0</v>
      </c>
      <c r="AQ256" s="92" t="s">
        <v>1413</v>
      </c>
      <c r="AR256" s="84" t="s">
        <v>179</v>
      </c>
      <c r="AS256" s="84">
        <v>0</v>
      </c>
      <c r="AT256" s="84">
        <v>0</v>
      </c>
      <c r="AU256" s="84"/>
      <c r="AV256" s="84"/>
      <c r="AW256" s="84"/>
      <c r="AX256" s="84"/>
      <c r="AY256" s="84"/>
      <c r="AZ256" s="84"/>
      <c r="BA256" s="84"/>
      <c r="BB256" s="84"/>
    </row>
    <row r="257" spans="1:54" x14ac:dyDescent="0.2">
      <c r="A257" s="69" t="s">
        <v>314</v>
      </c>
      <c r="B257" s="69" t="s">
        <v>314</v>
      </c>
      <c r="C257" s="70"/>
      <c r="D257" s="71"/>
      <c r="E257" s="72"/>
      <c r="F257" s="73"/>
      <c r="G257" s="70"/>
      <c r="H257" s="74"/>
      <c r="I257" s="75"/>
      <c r="J257" s="75"/>
      <c r="K257" s="36"/>
      <c r="L257" s="82"/>
      <c r="M257" s="82"/>
      <c r="N257" s="77"/>
      <c r="O257" s="84" t="s">
        <v>179</v>
      </c>
      <c r="P257" s="86">
        <v>44021.888344907406</v>
      </c>
      <c r="Q257" s="84" t="s">
        <v>606</v>
      </c>
      <c r="R257" s="84"/>
      <c r="S257" s="84"/>
      <c r="T257" s="84" t="s">
        <v>819</v>
      </c>
      <c r="U257" s="87" t="str">
        <f>HYPERLINK("https://pbs.twimg.com/media/Ecg5UiPUEAAn2Y0.jpg")</f>
        <v>https://pbs.twimg.com/media/Ecg5UiPUEAAn2Y0.jpg</v>
      </c>
      <c r="V257" s="87" t="str">
        <f>HYPERLINK("https://pbs.twimg.com/media/Ecg5UiPUEAAn2Y0.jpg")</f>
        <v>https://pbs.twimg.com/media/Ecg5UiPUEAAn2Y0.jpg</v>
      </c>
      <c r="W257" s="86">
        <v>44021.888344907406</v>
      </c>
      <c r="X257" s="90">
        <v>44021</v>
      </c>
      <c r="Y257" s="92" t="s">
        <v>993</v>
      </c>
      <c r="Z257" s="87" t="str">
        <f>HYPERLINK("https://twitter.com/coolportraitgil/status/1281337135342075908")</f>
        <v>https://twitter.com/coolportraitgil/status/1281337135342075908</v>
      </c>
      <c r="AA257" s="84"/>
      <c r="AB257" s="84"/>
      <c r="AC257" s="92" t="s">
        <v>1412</v>
      </c>
      <c r="AD257" s="84"/>
      <c r="AE257" s="84" t="b">
        <v>0</v>
      </c>
      <c r="AF257" s="84">
        <v>0</v>
      </c>
      <c r="AG257" s="92" t="s">
        <v>1724</v>
      </c>
      <c r="AH257" s="84" t="b">
        <v>0</v>
      </c>
      <c r="AI257" s="84" t="s">
        <v>1750</v>
      </c>
      <c r="AJ257" s="84"/>
      <c r="AK257" s="92" t="s">
        <v>1724</v>
      </c>
      <c r="AL257" s="84" t="b">
        <v>0</v>
      </c>
      <c r="AM257" s="84">
        <v>0</v>
      </c>
      <c r="AN257" s="92" t="s">
        <v>1724</v>
      </c>
      <c r="AO257" s="84" t="s">
        <v>1763</v>
      </c>
      <c r="AP257" s="84" t="b">
        <v>0</v>
      </c>
      <c r="AQ257" s="92" t="s">
        <v>1412</v>
      </c>
      <c r="AR257" s="84" t="s">
        <v>179</v>
      </c>
      <c r="AS257" s="84">
        <v>0</v>
      </c>
      <c r="AT257" s="84">
        <v>0</v>
      </c>
      <c r="AU257" s="84"/>
      <c r="AV257" s="84"/>
      <c r="AW257" s="84"/>
      <c r="AX257" s="84"/>
      <c r="AY257" s="84"/>
      <c r="AZ257" s="84"/>
      <c r="BA257" s="84"/>
      <c r="BB257" s="84"/>
    </row>
    <row r="258" spans="1:54" x14ac:dyDescent="0.2">
      <c r="A258" s="69" t="s">
        <v>314</v>
      </c>
      <c r="B258" s="69" t="s">
        <v>314</v>
      </c>
      <c r="C258" s="70"/>
      <c r="D258" s="71"/>
      <c r="E258" s="72"/>
      <c r="F258" s="73"/>
      <c r="G258" s="70"/>
      <c r="H258" s="74"/>
      <c r="I258" s="75"/>
      <c r="J258" s="75"/>
      <c r="K258" s="36"/>
      <c r="L258" s="82"/>
      <c r="M258" s="82"/>
      <c r="N258" s="77"/>
      <c r="O258" s="84" t="s">
        <v>179</v>
      </c>
      <c r="P258" s="86">
        <v>44021.887939814813</v>
      </c>
      <c r="Q258" s="84" t="s">
        <v>605</v>
      </c>
      <c r="R258" s="84"/>
      <c r="S258" s="84"/>
      <c r="T258" s="84" t="s">
        <v>819</v>
      </c>
      <c r="U258" s="87" t="str">
        <f>HYPERLINK("https://pbs.twimg.com/media/Ecg5MOTUEAE6tMM.jpg")</f>
        <v>https://pbs.twimg.com/media/Ecg5MOTUEAE6tMM.jpg</v>
      </c>
      <c r="V258" s="87" t="str">
        <f>HYPERLINK("https://pbs.twimg.com/media/Ecg5MOTUEAE6tMM.jpg")</f>
        <v>https://pbs.twimg.com/media/Ecg5MOTUEAE6tMM.jpg</v>
      </c>
      <c r="W258" s="86">
        <v>44021.887939814813</v>
      </c>
      <c r="X258" s="90">
        <v>44021</v>
      </c>
      <c r="Y258" s="92" t="s">
        <v>992</v>
      </c>
      <c r="Z258" s="87" t="str">
        <f>HYPERLINK("https://twitter.com/coolportraitgil/status/1281336988218519552")</f>
        <v>https://twitter.com/coolportraitgil/status/1281336988218519552</v>
      </c>
      <c r="AA258" s="84"/>
      <c r="AB258" s="84"/>
      <c r="AC258" s="92" t="s">
        <v>1411</v>
      </c>
      <c r="AD258" s="84"/>
      <c r="AE258" s="84" t="b">
        <v>0</v>
      </c>
      <c r="AF258" s="84">
        <v>1</v>
      </c>
      <c r="AG258" s="92" t="s">
        <v>1724</v>
      </c>
      <c r="AH258" s="84" t="b">
        <v>0</v>
      </c>
      <c r="AI258" s="84" t="s">
        <v>1750</v>
      </c>
      <c r="AJ258" s="84"/>
      <c r="AK258" s="92" t="s">
        <v>1724</v>
      </c>
      <c r="AL258" s="84" t="b">
        <v>0</v>
      </c>
      <c r="AM258" s="84">
        <v>0</v>
      </c>
      <c r="AN258" s="92" t="s">
        <v>1724</v>
      </c>
      <c r="AO258" s="84" t="s">
        <v>1763</v>
      </c>
      <c r="AP258" s="84" t="b">
        <v>0</v>
      </c>
      <c r="AQ258" s="92" t="s">
        <v>1411</v>
      </c>
      <c r="AR258" s="84" t="s">
        <v>179</v>
      </c>
      <c r="AS258" s="84">
        <v>0</v>
      </c>
      <c r="AT258" s="84">
        <v>0</v>
      </c>
      <c r="AU258" s="84"/>
      <c r="AV258" s="84"/>
      <c r="AW258" s="84"/>
      <c r="AX258" s="84"/>
      <c r="AY258" s="84"/>
      <c r="AZ258" s="84"/>
      <c r="BA258" s="84"/>
      <c r="BB258" s="84"/>
    </row>
    <row r="259" spans="1:54" x14ac:dyDescent="0.2">
      <c r="A259" s="69" t="s">
        <v>313</v>
      </c>
      <c r="B259" s="69" t="s">
        <v>312</v>
      </c>
      <c r="C259" s="70"/>
      <c r="D259" s="71"/>
      <c r="E259" s="72"/>
      <c r="F259" s="73"/>
      <c r="G259" s="70"/>
      <c r="H259" s="74"/>
      <c r="I259" s="75"/>
      <c r="J259" s="75"/>
      <c r="K259" s="36"/>
      <c r="L259" s="82"/>
      <c r="M259" s="82"/>
      <c r="N259" s="77"/>
      <c r="O259" s="84" t="s">
        <v>500</v>
      </c>
      <c r="P259" s="86">
        <v>44021.881782407407</v>
      </c>
      <c r="Q259" s="84" t="s">
        <v>552</v>
      </c>
      <c r="R259" s="84"/>
      <c r="S259" s="84"/>
      <c r="T259" s="84" t="s">
        <v>781</v>
      </c>
      <c r="U259" s="84"/>
      <c r="V259" s="87" t="str">
        <f>HYPERLINK("http://pbs.twimg.com/profile_images/834455712021565442/DNmi0RpP_normal.jpg")</f>
        <v>http://pbs.twimg.com/profile_images/834455712021565442/DNmi0RpP_normal.jpg</v>
      </c>
      <c r="W259" s="86">
        <v>44021.881782407407</v>
      </c>
      <c r="X259" s="90">
        <v>44021</v>
      </c>
      <c r="Y259" s="92" t="s">
        <v>981</v>
      </c>
      <c r="Z259" s="87" t="str">
        <f>HYPERLINK("https://twitter.com/flourishbees/status/1281334755204763648")</f>
        <v>https://twitter.com/flourishbees/status/1281334755204763648</v>
      </c>
      <c r="AA259" s="84"/>
      <c r="AB259" s="84"/>
      <c r="AC259" s="92" t="s">
        <v>1400</v>
      </c>
      <c r="AD259" s="84"/>
      <c r="AE259" s="84" t="b">
        <v>0</v>
      </c>
      <c r="AF259" s="84">
        <v>0</v>
      </c>
      <c r="AG259" s="92" t="s">
        <v>1724</v>
      </c>
      <c r="AH259" s="84" t="b">
        <v>0</v>
      </c>
      <c r="AI259" s="84" t="s">
        <v>1751</v>
      </c>
      <c r="AJ259" s="84"/>
      <c r="AK259" s="92" t="s">
        <v>1724</v>
      </c>
      <c r="AL259" s="84" t="b">
        <v>0</v>
      </c>
      <c r="AM259" s="84">
        <v>3</v>
      </c>
      <c r="AN259" s="92" t="s">
        <v>1399</v>
      </c>
      <c r="AO259" s="84" t="s">
        <v>1764</v>
      </c>
      <c r="AP259" s="84" t="b">
        <v>0</v>
      </c>
      <c r="AQ259" s="92" t="s">
        <v>1399</v>
      </c>
      <c r="AR259" s="84" t="s">
        <v>179</v>
      </c>
      <c r="AS259" s="84">
        <v>0</v>
      </c>
      <c r="AT259" s="84">
        <v>0</v>
      </c>
      <c r="AU259" s="84"/>
      <c r="AV259" s="84"/>
      <c r="AW259" s="84"/>
      <c r="AX259" s="84"/>
      <c r="AY259" s="84"/>
      <c r="AZ259" s="84"/>
      <c r="BA259" s="84"/>
      <c r="BB259" s="84"/>
    </row>
    <row r="260" spans="1:54" x14ac:dyDescent="0.2">
      <c r="A260" s="69" t="s">
        <v>311</v>
      </c>
      <c r="B260" s="69" t="s">
        <v>312</v>
      </c>
      <c r="C260" s="70"/>
      <c r="D260" s="71"/>
      <c r="E260" s="72"/>
      <c r="F260" s="73"/>
      <c r="G260" s="70"/>
      <c r="H260" s="74"/>
      <c r="I260" s="75"/>
      <c r="J260" s="75"/>
      <c r="K260" s="36"/>
      <c r="L260" s="82"/>
      <c r="M260" s="82"/>
      <c r="N260" s="77"/>
      <c r="O260" s="84" t="s">
        <v>500</v>
      </c>
      <c r="P260" s="86">
        <v>44021.865891203706</v>
      </c>
      <c r="Q260" s="84" t="s">
        <v>552</v>
      </c>
      <c r="R260" s="84"/>
      <c r="S260" s="84"/>
      <c r="T260" s="84" t="s">
        <v>781</v>
      </c>
      <c r="U260" s="84"/>
      <c r="V260" s="87" t="str">
        <f>HYPERLINK("http://pbs.twimg.com/profile_images/1162154885799981066/Fzl8adsF_normal.jpg")</f>
        <v>http://pbs.twimg.com/profile_images/1162154885799981066/Fzl8adsF_normal.jpg</v>
      </c>
      <c r="W260" s="86">
        <v>44021.865891203706</v>
      </c>
      <c r="X260" s="90">
        <v>44021</v>
      </c>
      <c r="Y260" s="92" t="s">
        <v>979</v>
      </c>
      <c r="Z260" s="87" t="str">
        <f>HYPERLINK("https://twitter.com/beekeepershour/status/1281328998174330883")</f>
        <v>https://twitter.com/beekeepershour/status/1281328998174330883</v>
      </c>
      <c r="AA260" s="84"/>
      <c r="AB260" s="84"/>
      <c r="AC260" s="92" t="s">
        <v>1398</v>
      </c>
      <c r="AD260" s="84"/>
      <c r="AE260" s="84" t="b">
        <v>0</v>
      </c>
      <c r="AF260" s="84">
        <v>0</v>
      </c>
      <c r="AG260" s="92" t="s">
        <v>1724</v>
      </c>
      <c r="AH260" s="84" t="b">
        <v>0</v>
      </c>
      <c r="AI260" s="84" t="s">
        <v>1751</v>
      </c>
      <c r="AJ260" s="84"/>
      <c r="AK260" s="92" t="s">
        <v>1724</v>
      </c>
      <c r="AL260" s="84" t="b">
        <v>0</v>
      </c>
      <c r="AM260" s="84">
        <v>3</v>
      </c>
      <c r="AN260" s="92" t="s">
        <v>1399</v>
      </c>
      <c r="AO260" s="84" t="s">
        <v>1764</v>
      </c>
      <c r="AP260" s="84" t="b">
        <v>0</v>
      </c>
      <c r="AQ260" s="92" t="s">
        <v>1399</v>
      </c>
      <c r="AR260" s="84" t="s">
        <v>179</v>
      </c>
      <c r="AS260" s="84">
        <v>0</v>
      </c>
      <c r="AT260" s="84">
        <v>0</v>
      </c>
      <c r="AU260" s="84"/>
      <c r="AV260" s="84"/>
      <c r="AW260" s="84"/>
      <c r="AX260" s="84"/>
      <c r="AY260" s="84"/>
      <c r="AZ260" s="84"/>
      <c r="BA260" s="84"/>
      <c r="BB260" s="84"/>
    </row>
    <row r="261" spans="1:54" x14ac:dyDescent="0.2">
      <c r="A261" s="69" t="s">
        <v>400</v>
      </c>
      <c r="B261" s="69" t="s">
        <v>400</v>
      </c>
      <c r="C261" s="70"/>
      <c r="D261" s="71"/>
      <c r="E261" s="72"/>
      <c r="F261" s="73"/>
      <c r="G261" s="70"/>
      <c r="H261" s="74"/>
      <c r="I261" s="75"/>
      <c r="J261" s="75"/>
      <c r="K261" s="36"/>
      <c r="L261" s="82"/>
      <c r="M261" s="82"/>
      <c r="N261" s="77"/>
      <c r="O261" s="84" t="s">
        <v>179</v>
      </c>
      <c r="P261" s="86">
        <v>44021.8128125</v>
      </c>
      <c r="Q261" s="84" t="s">
        <v>586</v>
      </c>
      <c r="R261" s="87" t="str">
        <f>HYPERLINK("https://m.facebook.com/anunknownkraftsman")</f>
        <v>https://m.facebook.com/anunknownkraftsman</v>
      </c>
      <c r="S261" s="84" t="s">
        <v>772</v>
      </c>
      <c r="T261" s="84" t="s">
        <v>842</v>
      </c>
      <c r="U261" s="84"/>
      <c r="V261" s="87" t="str">
        <f>HYPERLINK("http://pbs.twimg.com/profile_images/1142556013167632391/vMubfzN-_normal.jpg")</f>
        <v>http://pbs.twimg.com/profile_images/1142556013167632391/vMubfzN-_normal.jpg</v>
      </c>
      <c r="W261" s="86">
        <v>44021.8128125</v>
      </c>
      <c r="X261" s="90">
        <v>44021</v>
      </c>
      <c r="Y261" s="92" t="s">
        <v>1136</v>
      </c>
      <c r="Z261" s="87" t="str">
        <f>HYPERLINK("https://twitter.com/hc_mmoor1868/status/1281309760852299781")</f>
        <v>https://twitter.com/hc_mmoor1868/status/1281309760852299781</v>
      </c>
      <c r="AA261" s="84"/>
      <c r="AB261" s="84"/>
      <c r="AC261" s="92" t="s">
        <v>1555</v>
      </c>
      <c r="AD261" s="84"/>
      <c r="AE261" s="84" t="b">
        <v>0</v>
      </c>
      <c r="AF261" s="84">
        <v>0</v>
      </c>
      <c r="AG261" s="92" t="s">
        <v>1724</v>
      </c>
      <c r="AH261" s="84" t="b">
        <v>0</v>
      </c>
      <c r="AI261" s="84" t="s">
        <v>1751</v>
      </c>
      <c r="AJ261" s="84"/>
      <c r="AK261" s="92" t="s">
        <v>1724</v>
      </c>
      <c r="AL261" s="84" t="b">
        <v>0</v>
      </c>
      <c r="AM261" s="84">
        <v>0</v>
      </c>
      <c r="AN261" s="92" t="s">
        <v>1724</v>
      </c>
      <c r="AO261" s="84" t="s">
        <v>1783</v>
      </c>
      <c r="AP261" s="84" t="b">
        <v>0</v>
      </c>
      <c r="AQ261" s="92" t="s">
        <v>1555</v>
      </c>
      <c r="AR261" s="84" t="s">
        <v>179</v>
      </c>
      <c r="AS261" s="84">
        <v>0</v>
      </c>
      <c r="AT261" s="84">
        <v>0</v>
      </c>
      <c r="AU261" s="84"/>
      <c r="AV261" s="84"/>
      <c r="AW261" s="84"/>
      <c r="AX261" s="84"/>
      <c r="AY261" s="84"/>
      <c r="AZ261" s="84"/>
      <c r="BA261" s="84"/>
      <c r="BB261" s="84"/>
    </row>
    <row r="262" spans="1:54" x14ac:dyDescent="0.2">
      <c r="A262" s="69" t="s">
        <v>310</v>
      </c>
      <c r="B262" s="69" t="s">
        <v>365</v>
      </c>
      <c r="C262" s="70"/>
      <c r="D262" s="71"/>
      <c r="E262" s="72"/>
      <c r="F262" s="73"/>
      <c r="G262" s="70"/>
      <c r="H262" s="74"/>
      <c r="I262" s="75"/>
      <c r="J262" s="75"/>
      <c r="K262" s="36"/>
      <c r="L262" s="82"/>
      <c r="M262" s="82"/>
      <c r="N262" s="77"/>
      <c r="O262" s="84" t="s">
        <v>500</v>
      </c>
      <c r="P262" s="86">
        <v>44021.801400462966</v>
      </c>
      <c r="Q262" s="84" t="s">
        <v>594</v>
      </c>
      <c r="R262" s="84"/>
      <c r="S262" s="84"/>
      <c r="T262" s="84" t="s">
        <v>781</v>
      </c>
      <c r="U262" s="87" t="str">
        <f>HYPERLINK("https://pbs.twimg.com/media/EceES2uU4AIr3af.jpg")</f>
        <v>https://pbs.twimg.com/media/EceES2uU4AIr3af.jpg</v>
      </c>
      <c r="V262" s="87" t="str">
        <f>HYPERLINK("https://pbs.twimg.com/media/EceES2uU4AIr3af.jpg")</f>
        <v>https://pbs.twimg.com/media/EceES2uU4AIr3af.jpg</v>
      </c>
      <c r="W262" s="86">
        <v>44021.801400462966</v>
      </c>
      <c r="X262" s="90">
        <v>44021</v>
      </c>
      <c r="Y262" s="92" t="s">
        <v>978</v>
      </c>
      <c r="Z262" s="87" t="str">
        <f>HYPERLINK("https://twitter.com/almondx43/status/1281305625700384768")</f>
        <v>https://twitter.com/almondx43/status/1281305625700384768</v>
      </c>
      <c r="AA262" s="84"/>
      <c r="AB262" s="84"/>
      <c r="AC262" s="92" t="s">
        <v>1397</v>
      </c>
      <c r="AD262" s="84"/>
      <c r="AE262" s="84" t="b">
        <v>0</v>
      </c>
      <c r="AF262" s="84">
        <v>0</v>
      </c>
      <c r="AG262" s="92" t="s">
        <v>1724</v>
      </c>
      <c r="AH262" s="84" t="b">
        <v>0</v>
      </c>
      <c r="AI262" s="84" t="s">
        <v>1750</v>
      </c>
      <c r="AJ262" s="84"/>
      <c r="AK262" s="92" t="s">
        <v>1724</v>
      </c>
      <c r="AL262" s="84" t="b">
        <v>0</v>
      </c>
      <c r="AM262" s="84">
        <v>1</v>
      </c>
      <c r="AN262" s="92" t="s">
        <v>1509</v>
      </c>
      <c r="AO262" s="84" t="s">
        <v>1764</v>
      </c>
      <c r="AP262" s="84" t="b">
        <v>0</v>
      </c>
      <c r="AQ262" s="92" t="s">
        <v>1509</v>
      </c>
      <c r="AR262" s="84" t="s">
        <v>179</v>
      </c>
      <c r="AS262" s="84">
        <v>0</v>
      </c>
      <c r="AT262" s="84">
        <v>0</v>
      </c>
      <c r="AU262" s="84"/>
      <c r="AV262" s="84"/>
      <c r="AW262" s="84"/>
      <c r="AX262" s="84"/>
      <c r="AY262" s="84"/>
      <c r="AZ262" s="84"/>
      <c r="BA262" s="84"/>
      <c r="BB262" s="84"/>
    </row>
    <row r="263" spans="1:54" x14ac:dyDescent="0.2">
      <c r="A263" s="69" t="s">
        <v>309</v>
      </c>
      <c r="B263" s="69" t="s">
        <v>309</v>
      </c>
      <c r="C263" s="70"/>
      <c r="D263" s="71"/>
      <c r="E263" s="72"/>
      <c r="F263" s="73"/>
      <c r="G263" s="70"/>
      <c r="H263" s="74"/>
      <c r="I263" s="75"/>
      <c r="J263" s="75"/>
      <c r="K263" s="36"/>
      <c r="L263" s="82"/>
      <c r="M263" s="82"/>
      <c r="N263" s="77"/>
      <c r="O263" s="84" t="s">
        <v>179</v>
      </c>
      <c r="P263" s="86">
        <v>44021.790659722225</v>
      </c>
      <c r="Q263" s="84" t="s">
        <v>591</v>
      </c>
      <c r="R263" s="84"/>
      <c r="S263" s="84"/>
      <c r="T263" s="84" t="s">
        <v>781</v>
      </c>
      <c r="U263" s="87" t="str">
        <f>HYPERLINK("https://pbs.twimg.com/media/EcgZIeQWkAAQ9ub.jpg")</f>
        <v>https://pbs.twimg.com/media/EcgZIeQWkAAQ9ub.jpg</v>
      </c>
      <c r="V263" s="87" t="str">
        <f>HYPERLINK("https://pbs.twimg.com/media/EcgZIeQWkAAQ9ub.jpg")</f>
        <v>https://pbs.twimg.com/media/EcgZIeQWkAAQ9ub.jpg</v>
      </c>
      <c r="W263" s="86">
        <v>44021.790659722225</v>
      </c>
      <c r="X263" s="90">
        <v>44021</v>
      </c>
      <c r="Y263" s="92" t="s">
        <v>975</v>
      </c>
      <c r="Z263" s="87" t="str">
        <f>HYPERLINK("https://twitter.com/lobeznox5/status/1281301732392423424")</f>
        <v>https://twitter.com/lobeznox5/status/1281301732392423424</v>
      </c>
      <c r="AA263" s="84"/>
      <c r="AB263" s="84"/>
      <c r="AC263" s="92" t="s">
        <v>1394</v>
      </c>
      <c r="AD263" s="84"/>
      <c r="AE263" s="84" t="b">
        <v>0</v>
      </c>
      <c r="AF263" s="84">
        <v>0</v>
      </c>
      <c r="AG263" s="92" t="s">
        <v>1724</v>
      </c>
      <c r="AH263" s="84" t="b">
        <v>0</v>
      </c>
      <c r="AI263" s="84" t="s">
        <v>1754</v>
      </c>
      <c r="AJ263" s="84"/>
      <c r="AK263" s="92" t="s">
        <v>1724</v>
      </c>
      <c r="AL263" s="84" t="b">
        <v>0</v>
      </c>
      <c r="AM263" s="84">
        <v>0</v>
      </c>
      <c r="AN263" s="92" t="s">
        <v>1724</v>
      </c>
      <c r="AO263" s="84" t="s">
        <v>1764</v>
      </c>
      <c r="AP263" s="84" t="b">
        <v>0</v>
      </c>
      <c r="AQ263" s="92" t="s">
        <v>1394</v>
      </c>
      <c r="AR263" s="84" t="s">
        <v>179</v>
      </c>
      <c r="AS263" s="84">
        <v>0</v>
      </c>
      <c r="AT263" s="84">
        <v>0</v>
      </c>
      <c r="AU263" s="84"/>
      <c r="AV263" s="84"/>
      <c r="AW263" s="84"/>
      <c r="AX263" s="84"/>
      <c r="AY263" s="84"/>
      <c r="AZ263" s="84"/>
      <c r="BA263" s="84"/>
      <c r="BB263" s="84"/>
    </row>
    <row r="264" spans="1:54" x14ac:dyDescent="0.2">
      <c r="A264" s="69" t="s">
        <v>314</v>
      </c>
      <c r="B264" s="69" t="s">
        <v>314</v>
      </c>
      <c r="C264" s="70"/>
      <c r="D264" s="71"/>
      <c r="E264" s="72"/>
      <c r="F264" s="73"/>
      <c r="G264" s="70"/>
      <c r="H264" s="74"/>
      <c r="I264" s="75"/>
      <c r="J264" s="75"/>
      <c r="K264" s="36"/>
      <c r="L264" s="82"/>
      <c r="M264" s="82"/>
      <c r="N264" s="77"/>
      <c r="O264" s="84" t="s">
        <v>179</v>
      </c>
      <c r="P264" s="86">
        <v>44021.766550925924</v>
      </c>
      <c r="Q264" s="84" t="s">
        <v>604</v>
      </c>
      <c r="R264" s="84"/>
      <c r="S264" s="84"/>
      <c r="T264" s="84" t="s">
        <v>819</v>
      </c>
      <c r="U264" s="87" t="str">
        <f>HYPERLINK("https://pbs.twimg.com/media/EcgRMA4VAAEszzF.jpg")</f>
        <v>https://pbs.twimg.com/media/EcgRMA4VAAEszzF.jpg</v>
      </c>
      <c r="V264" s="87" t="str">
        <f>HYPERLINK("https://pbs.twimg.com/media/EcgRMA4VAAEszzF.jpg")</f>
        <v>https://pbs.twimg.com/media/EcgRMA4VAAEszzF.jpg</v>
      </c>
      <c r="W264" s="86">
        <v>44021.766550925924</v>
      </c>
      <c r="X264" s="90">
        <v>44021</v>
      </c>
      <c r="Y264" s="92" t="s">
        <v>991</v>
      </c>
      <c r="Z264" s="87" t="str">
        <f>HYPERLINK("https://twitter.com/coolportraitgil/status/1281292996390998016")</f>
        <v>https://twitter.com/coolportraitgil/status/1281292996390998016</v>
      </c>
      <c r="AA264" s="84"/>
      <c r="AB264" s="84"/>
      <c r="AC264" s="92" t="s">
        <v>1410</v>
      </c>
      <c r="AD264" s="84"/>
      <c r="AE264" s="84" t="b">
        <v>0</v>
      </c>
      <c r="AF264" s="84">
        <v>4</v>
      </c>
      <c r="AG264" s="92" t="s">
        <v>1724</v>
      </c>
      <c r="AH264" s="84" t="b">
        <v>0</v>
      </c>
      <c r="AI264" s="84" t="s">
        <v>1750</v>
      </c>
      <c r="AJ264" s="84"/>
      <c r="AK264" s="92" t="s">
        <v>1724</v>
      </c>
      <c r="AL264" s="84" t="b">
        <v>0</v>
      </c>
      <c r="AM264" s="84">
        <v>0</v>
      </c>
      <c r="AN264" s="92" t="s">
        <v>1724</v>
      </c>
      <c r="AO264" s="84" t="s">
        <v>1763</v>
      </c>
      <c r="AP264" s="84" t="b">
        <v>0</v>
      </c>
      <c r="AQ264" s="92" t="s">
        <v>1410</v>
      </c>
      <c r="AR264" s="84" t="s">
        <v>179</v>
      </c>
      <c r="AS264" s="84">
        <v>0</v>
      </c>
      <c r="AT264" s="84">
        <v>0</v>
      </c>
      <c r="AU264" s="84"/>
      <c r="AV264" s="84"/>
      <c r="AW264" s="84"/>
      <c r="AX264" s="84"/>
      <c r="AY264" s="84"/>
      <c r="AZ264" s="84"/>
      <c r="BA264" s="84"/>
      <c r="BB264" s="84"/>
    </row>
    <row r="265" spans="1:54" x14ac:dyDescent="0.2">
      <c r="A265" s="69" t="s">
        <v>308</v>
      </c>
      <c r="B265" s="69" t="s">
        <v>308</v>
      </c>
      <c r="C265" s="70"/>
      <c r="D265" s="71"/>
      <c r="E265" s="72"/>
      <c r="F265" s="73"/>
      <c r="G265" s="70"/>
      <c r="H265" s="74"/>
      <c r="I265" s="75"/>
      <c r="J265" s="75"/>
      <c r="K265" s="36"/>
      <c r="L265" s="82"/>
      <c r="M265" s="82"/>
      <c r="N265" s="77"/>
      <c r="O265" s="84" t="s">
        <v>179</v>
      </c>
      <c r="P265" s="86">
        <v>44021.743634259263</v>
      </c>
      <c r="Q265" s="84" t="s">
        <v>590</v>
      </c>
      <c r="R265" s="87" t="str">
        <f>HYPERLINK("https://www.instagram.com/p/CCbirk5MBRv/?igshid=kox0m9eg89tm")</f>
        <v>https://www.instagram.com/p/CCbirk5MBRv/?igshid=kox0m9eg89tm</v>
      </c>
      <c r="S265" s="84" t="s">
        <v>759</v>
      </c>
      <c r="T265" s="84" t="s">
        <v>817</v>
      </c>
      <c r="U265" s="84"/>
      <c r="V265" s="87" t="str">
        <f>HYPERLINK("http://pbs.twimg.com/profile_images/1018563817754816512/OzIeWyQw_normal.jpg")</f>
        <v>http://pbs.twimg.com/profile_images/1018563817754816512/OzIeWyQw_normal.jpg</v>
      </c>
      <c r="W265" s="86">
        <v>44021.743634259263</v>
      </c>
      <c r="X265" s="90">
        <v>44021</v>
      </c>
      <c r="Y265" s="92" t="s">
        <v>974</v>
      </c>
      <c r="Z265" s="87" t="str">
        <f>HYPERLINK("https://twitter.com/pipoca_nr/status/1281284694462664705")</f>
        <v>https://twitter.com/pipoca_nr/status/1281284694462664705</v>
      </c>
      <c r="AA265" s="84">
        <v>50.85</v>
      </c>
      <c r="AB265" s="84">
        <v>4.3499999999999996</v>
      </c>
      <c r="AC265" s="92" t="s">
        <v>1393</v>
      </c>
      <c r="AD265" s="84"/>
      <c r="AE265" s="84" t="b">
        <v>0</v>
      </c>
      <c r="AF265" s="84">
        <v>1</v>
      </c>
      <c r="AG265" s="92" t="s">
        <v>1724</v>
      </c>
      <c r="AH265" s="84" t="b">
        <v>0</v>
      </c>
      <c r="AI265" s="84" t="s">
        <v>1751</v>
      </c>
      <c r="AJ265" s="84"/>
      <c r="AK265" s="92" t="s">
        <v>1724</v>
      </c>
      <c r="AL265" s="84" t="b">
        <v>0</v>
      </c>
      <c r="AM265" s="84">
        <v>0</v>
      </c>
      <c r="AN265" s="92" t="s">
        <v>1724</v>
      </c>
      <c r="AO265" s="84" t="s">
        <v>1771</v>
      </c>
      <c r="AP265" s="84" t="b">
        <v>0</v>
      </c>
      <c r="AQ265" s="92" t="s">
        <v>1393</v>
      </c>
      <c r="AR265" s="84" t="s">
        <v>179</v>
      </c>
      <c r="AS265" s="84">
        <v>0</v>
      </c>
      <c r="AT265" s="84">
        <v>0</v>
      </c>
      <c r="AU265" s="84" t="s">
        <v>1787</v>
      </c>
      <c r="AV265" s="84" t="s">
        <v>1791</v>
      </c>
      <c r="AW265" s="84" t="s">
        <v>1794</v>
      </c>
      <c r="AX265" s="84" t="s">
        <v>1798</v>
      </c>
      <c r="AY265" s="84" t="s">
        <v>1803</v>
      </c>
      <c r="AZ265" s="84" t="s">
        <v>1808</v>
      </c>
      <c r="BA265" s="84" t="s">
        <v>1810</v>
      </c>
      <c r="BB265" s="87" t="str">
        <f>HYPERLINK("https://api.twitter.com/1.1/geo/id/0653bb913c88c1ea.json")</f>
        <v>https://api.twitter.com/1.1/geo/id/0653bb913c88c1ea.json</v>
      </c>
    </row>
    <row r="266" spans="1:54" x14ac:dyDescent="0.2">
      <c r="A266" s="69" t="s">
        <v>342</v>
      </c>
      <c r="B266" s="69" t="s">
        <v>341</v>
      </c>
      <c r="C266" s="70"/>
      <c r="D266" s="71"/>
      <c r="E266" s="72"/>
      <c r="F266" s="73"/>
      <c r="G266" s="70"/>
      <c r="H266" s="74"/>
      <c r="I266" s="75"/>
      <c r="J266" s="75"/>
      <c r="K266" s="36"/>
      <c r="L266" s="82"/>
      <c r="M266" s="82"/>
      <c r="N266" s="77"/>
      <c r="O266" s="84" t="s">
        <v>500</v>
      </c>
      <c r="P266" s="86">
        <v>44021.672118055554</v>
      </c>
      <c r="Q266" s="84" t="s">
        <v>638</v>
      </c>
      <c r="R266" s="84"/>
      <c r="S266" s="84"/>
      <c r="T266" s="84" t="s">
        <v>816</v>
      </c>
      <c r="U266" s="87" t="str">
        <f>HYPERLINK("https://pbs.twimg.com/media/Ecfqf49U0AEdKDQ.jpg")</f>
        <v>https://pbs.twimg.com/media/Ecfqf49U0AEdKDQ.jpg</v>
      </c>
      <c r="V266" s="87" t="str">
        <f>HYPERLINK("https://pbs.twimg.com/media/Ecfqf49U0AEdKDQ.jpg")</f>
        <v>https://pbs.twimg.com/media/Ecfqf49U0AEdKDQ.jpg</v>
      </c>
      <c r="W266" s="86">
        <v>44021.672118055554</v>
      </c>
      <c r="X266" s="90">
        <v>44021</v>
      </c>
      <c r="Y266" s="92" t="s">
        <v>1035</v>
      </c>
      <c r="Z266" s="87" t="str">
        <f>HYPERLINK("https://twitter.com/mameojaru/status/1281258776541016064")</f>
        <v>https://twitter.com/mameojaru/status/1281258776541016064</v>
      </c>
      <c r="AA266" s="84"/>
      <c r="AB266" s="84"/>
      <c r="AC266" s="92" t="s">
        <v>1454</v>
      </c>
      <c r="AD266" s="84"/>
      <c r="AE266" s="84" t="b">
        <v>0</v>
      </c>
      <c r="AF266" s="84">
        <v>0</v>
      </c>
      <c r="AG266" s="92" t="s">
        <v>1724</v>
      </c>
      <c r="AH266" s="84" t="b">
        <v>0</v>
      </c>
      <c r="AI266" s="84" t="s">
        <v>1750</v>
      </c>
      <c r="AJ266" s="84"/>
      <c r="AK266" s="92" t="s">
        <v>1724</v>
      </c>
      <c r="AL266" s="84" t="b">
        <v>0</v>
      </c>
      <c r="AM266" s="84">
        <v>1</v>
      </c>
      <c r="AN266" s="92" t="s">
        <v>1453</v>
      </c>
      <c r="AO266" s="84" t="s">
        <v>1766</v>
      </c>
      <c r="AP266" s="84" t="b">
        <v>0</v>
      </c>
      <c r="AQ266" s="92" t="s">
        <v>1453</v>
      </c>
      <c r="AR266" s="84" t="s">
        <v>179</v>
      </c>
      <c r="AS266" s="84">
        <v>0</v>
      </c>
      <c r="AT266" s="84">
        <v>0</v>
      </c>
      <c r="AU266" s="84"/>
      <c r="AV266" s="84"/>
      <c r="AW266" s="84"/>
      <c r="AX266" s="84"/>
      <c r="AY266" s="84"/>
      <c r="AZ266" s="84"/>
      <c r="BA266" s="84"/>
      <c r="BB266" s="84"/>
    </row>
    <row r="267" spans="1:54" x14ac:dyDescent="0.2">
      <c r="A267" s="69" t="s">
        <v>329</v>
      </c>
      <c r="B267" s="69" t="s">
        <v>329</v>
      </c>
      <c r="C267" s="70"/>
      <c r="D267" s="71"/>
      <c r="E267" s="72"/>
      <c r="F267" s="73"/>
      <c r="G267" s="70"/>
      <c r="H267" s="74"/>
      <c r="I267" s="75"/>
      <c r="J267" s="75"/>
      <c r="K267" s="36"/>
      <c r="L267" s="82"/>
      <c r="M267" s="82"/>
      <c r="N267" s="77"/>
      <c r="O267" s="84" t="s">
        <v>179</v>
      </c>
      <c r="P267" s="86">
        <v>44021.666145833333</v>
      </c>
      <c r="Q267" s="84" t="s">
        <v>630</v>
      </c>
      <c r="R267" s="84"/>
      <c r="S267" s="84"/>
      <c r="T267" s="84" t="s">
        <v>781</v>
      </c>
      <c r="U267" s="87" t="str">
        <f>HYPERLINK("https://pbs.twimg.com/media/EcfwGIkUYAAbxin.jpg")</f>
        <v>https://pbs.twimg.com/media/EcfwGIkUYAAbxin.jpg</v>
      </c>
      <c r="V267" s="87" t="str">
        <f>HYPERLINK("https://pbs.twimg.com/media/EcfwGIkUYAAbxin.jpg")</f>
        <v>https://pbs.twimg.com/media/EcfwGIkUYAAbxin.jpg</v>
      </c>
      <c r="W267" s="86">
        <v>44021.666145833333</v>
      </c>
      <c r="X267" s="90">
        <v>44021</v>
      </c>
      <c r="Y267" s="92" t="s">
        <v>1020</v>
      </c>
      <c r="Z267" s="87" t="str">
        <f>HYPERLINK("https://twitter.com/jeanluc_picachu/status/1281256613215518720")</f>
        <v>https://twitter.com/jeanluc_picachu/status/1281256613215518720</v>
      </c>
      <c r="AA267" s="84"/>
      <c r="AB267" s="84"/>
      <c r="AC267" s="92" t="s">
        <v>1439</v>
      </c>
      <c r="AD267" s="84"/>
      <c r="AE267" s="84" t="b">
        <v>0</v>
      </c>
      <c r="AF267" s="84">
        <v>2</v>
      </c>
      <c r="AG267" s="92" t="s">
        <v>1724</v>
      </c>
      <c r="AH267" s="84" t="b">
        <v>0</v>
      </c>
      <c r="AI267" s="84" t="s">
        <v>1750</v>
      </c>
      <c r="AJ267" s="84"/>
      <c r="AK267" s="92" t="s">
        <v>1724</v>
      </c>
      <c r="AL267" s="84" t="b">
        <v>0</v>
      </c>
      <c r="AM267" s="84">
        <v>0</v>
      </c>
      <c r="AN267" s="92" t="s">
        <v>1724</v>
      </c>
      <c r="AO267" s="84" t="s">
        <v>1768</v>
      </c>
      <c r="AP267" s="84" t="b">
        <v>0</v>
      </c>
      <c r="AQ267" s="92" t="s">
        <v>1439</v>
      </c>
      <c r="AR267" s="84" t="s">
        <v>179</v>
      </c>
      <c r="AS267" s="84">
        <v>0</v>
      </c>
      <c r="AT267" s="84">
        <v>0</v>
      </c>
      <c r="AU267" s="84"/>
      <c r="AV267" s="84"/>
      <c r="AW267" s="84"/>
      <c r="AX267" s="84"/>
      <c r="AY267" s="84"/>
      <c r="AZ267" s="84"/>
      <c r="BA267" s="84"/>
      <c r="BB267" s="84"/>
    </row>
    <row r="268" spans="1:54" x14ac:dyDescent="0.2">
      <c r="A268" s="69" t="s">
        <v>341</v>
      </c>
      <c r="B268" s="69" t="s">
        <v>341</v>
      </c>
      <c r="C268" s="70"/>
      <c r="D268" s="71"/>
      <c r="E268" s="72"/>
      <c r="F268" s="73"/>
      <c r="G268" s="70"/>
      <c r="H268" s="74"/>
      <c r="I268" s="75"/>
      <c r="J268" s="75"/>
      <c r="K268" s="36"/>
      <c r="L268" s="82"/>
      <c r="M268" s="82"/>
      <c r="N268" s="77"/>
      <c r="O268" s="84" t="s">
        <v>179</v>
      </c>
      <c r="P268" s="86">
        <v>44021.649155092593</v>
      </c>
      <c r="Q268" s="84" t="s">
        <v>638</v>
      </c>
      <c r="R268" s="84"/>
      <c r="S268" s="84"/>
      <c r="T268" s="84" t="s">
        <v>816</v>
      </c>
      <c r="U268" s="87" t="str">
        <f>HYPERLINK("https://pbs.twimg.com/media/Ecfqf49U0AEdKDQ.jpg")</f>
        <v>https://pbs.twimg.com/media/Ecfqf49U0AEdKDQ.jpg</v>
      </c>
      <c r="V268" s="87" t="str">
        <f>HYPERLINK("https://pbs.twimg.com/media/Ecfqf49U0AEdKDQ.jpg")</f>
        <v>https://pbs.twimg.com/media/Ecfqf49U0AEdKDQ.jpg</v>
      </c>
      <c r="W268" s="86">
        <v>44021.649155092593</v>
      </c>
      <c r="X268" s="90">
        <v>44021</v>
      </c>
      <c r="Y268" s="92" t="s">
        <v>1034</v>
      </c>
      <c r="Z268" s="87" t="str">
        <f>HYPERLINK("https://twitter.com/kinect023/status/1281250455830446080")</f>
        <v>https://twitter.com/kinect023/status/1281250455830446080</v>
      </c>
      <c r="AA268" s="84"/>
      <c r="AB268" s="84"/>
      <c r="AC268" s="92" t="s">
        <v>1453</v>
      </c>
      <c r="AD268" s="84"/>
      <c r="AE268" s="84" t="b">
        <v>0</v>
      </c>
      <c r="AF268" s="84">
        <v>1</v>
      </c>
      <c r="AG268" s="92" t="s">
        <v>1724</v>
      </c>
      <c r="AH268" s="84" t="b">
        <v>0</v>
      </c>
      <c r="AI268" s="84" t="s">
        <v>1750</v>
      </c>
      <c r="AJ268" s="84"/>
      <c r="AK268" s="92" t="s">
        <v>1724</v>
      </c>
      <c r="AL268" s="84" t="b">
        <v>0</v>
      </c>
      <c r="AM268" s="84">
        <v>1</v>
      </c>
      <c r="AN268" s="92" t="s">
        <v>1724</v>
      </c>
      <c r="AO268" s="84" t="s">
        <v>1763</v>
      </c>
      <c r="AP268" s="84" t="b">
        <v>0</v>
      </c>
      <c r="AQ268" s="92" t="s">
        <v>1453</v>
      </c>
      <c r="AR268" s="84" t="s">
        <v>179</v>
      </c>
      <c r="AS268" s="84">
        <v>0</v>
      </c>
      <c r="AT268" s="84">
        <v>0</v>
      </c>
      <c r="AU268" s="84"/>
      <c r="AV268" s="84"/>
      <c r="AW268" s="84"/>
      <c r="AX268" s="84"/>
      <c r="AY268" s="84"/>
      <c r="AZ268" s="84"/>
      <c r="BA268" s="84"/>
      <c r="BB268" s="84"/>
    </row>
    <row r="269" spans="1:54" x14ac:dyDescent="0.2">
      <c r="A269" s="69" t="s">
        <v>307</v>
      </c>
      <c r="B269" s="69" t="s">
        <v>307</v>
      </c>
      <c r="C269" s="70"/>
      <c r="D269" s="71"/>
      <c r="E269" s="72"/>
      <c r="F269" s="73"/>
      <c r="G269" s="70"/>
      <c r="H269" s="74"/>
      <c r="I269" s="75"/>
      <c r="J269" s="75"/>
      <c r="K269" s="36"/>
      <c r="L269" s="82"/>
      <c r="M269" s="82"/>
      <c r="N269" s="77"/>
      <c r="O269" s="84" t="s">
        <v>179</v>
      </c>
      <c r="P269" s="86">
        <v>44021.573333333334</v>
      </c>
      <c r="Q269" s="84" t="s">
        <v>589</v>
      </c>
      <c r="R269" s="84"/>
      <c r="S269" s="84"/>
      <c r="T269" s="84" t="s">
        <v>816</v>
      </c>
      <c r="U269" s="87" t="str">
        <f>HYPERLINK("https://pbs.twimg.com/media/EcfRgNqXkAE-LPG.jpg")</f>
        <v>https://pbs.twimg.com/media/EcfRgNqXkAE-LPG.jpg</v>
      </c>
      <c r="V269" s="87" t="str">
        <f>HYPERLINK("https://pbs.twimg.com/media/EcfRgNqXkAE-LPG.jpg")</f>
        <v>https://pbs.twimg.com/media/EcfRgNqXkAE-LPG.jpg</v>
      </c>
      <c r="W269" s="86">
        <v>44021.573333333334</v>
      </c>
      <c r="X269" s="90">
        <v>44021</v>
      </c>
      <c r="Y269" s="92" t="s">
        <v>973</v>
      </c>
      <c r="Z269" s="87" t="str">
        <f>HYPERLINK("https://twitter.com/keys_tad/status/1281222977619668992")</f>
        <v>https://twitter.com/keys_tad/status/1281222977619668992</v>
      </c>
      <c r="AA269" s="84"/>
      <c r="AB269" s="84"/>
      <c r="AC269" s="92" t="s">
        <v>1392</v>
      </c>
      <c r="AD269" s="84"/>
      <c r="AE269" s="84" t="b">
        <v>0</v>
      </c>
      <c r="AF269" s="84">
        <v>6</v>
      </c>
      <c r="AG269" s="92" t="s">
        <v>1724</v>
      </c>
      <c r="AH269" s="84" t="b">
        <v>0</v>
      </c>
      <c r="AI269" s="84" t="s">
        <v>1750</v>
      </c>
      <c r="AJ269" s="84"/>
      <c r="AK269" s="92" t="s">
        <v>1724</v>
      </c>
      <c r="AL269" s="84" t="b">
        <v>0</v>
      </c>
      <c r="AM269" s="84">
        <v>0</v>
      </c>
      <c r="AN269" s="92" t="s">
        <v>1724</v>
      </c>
      <c r="AO269" s="84" t="s">
        <v>1763</v>
      </c>
      <c r="AP269" s="84" t="b">
        <v>0</v>
      </c>
      <c r="AQ269" s="92" t="s">
        <v>1392</v>
      </c>
      <c r="AR269" s="84" t="s">
        <v>179</v>
      </c>
      <c r="AS269" s="84">
        <v>0</v>
      </c>
      <c r="AT269" s="84">
        <v>0</v>
      </c>
      <c r="AU269" s="84"/>
      <c r="AV269" s="84"/>
      <c r="AW269" s="84"/>
      <c r="AX269" s="84"/>
      <c r="AY269" s="84"/>
      <c r="AZ269" s="84"/>
      <c r="BA269" s="84"/>
      <c r="BB269" s="84"/>
    </row>
    <row r="270" spans="1:54" x14ac:dyDescent="0.2">
      <c r="A270" s="69" t="s">
        <v>306</v>
      </c>
      <c r="B270" s="69" t="s">
        <v>306</v>
      </c>
      <c r="C270" s="70"/>
      <c r="D270" s="71"/>
      <c r="E270" s="72"/>
      <c r="F270" s="73"/>
      <c r="G270" s="70"/>
      <c r="H270" s="74"/>
      <c r="I270" s="75"/>
      <c r="J270" s="75"/>
      <c r="K270" s="36"/>
      <c r="L270" s="82"/>
      <c r="M270" s="82"/>
      <c r="N270" s="77"/>
      <c r="O270" s="84" t="s">
        <v>179</v>
      </c>
      <c r="P270" s="86">
        <v>44021.540520833332</v>
      </c>
      <c r="Q270" s="84" t="s">
        <v>588</v>
      </c>
      <c r="R270" s="84"/>
      <c r="S270" s="84"/>
      <c r="T270" s="84" t="s">
        <v>781</v>
      </c>
      <c r="U270" s="84"/>
      <c r="V270" s="87" t="str">
        <f>HYPERLINK("http://pbs.twimg.com/profile_images/1109118973/100823_2114_01_normal.jpg")</f>
        <v>http://pbs.twimg.com/profile_images/1109118973/100823_2114_01_normal.jpg</v>
      </c>
      <c r="W270" s="86">
        <v>44021.540520833332</v>
      </c>
      <c r="X270" s="90">
        <v>44021</v>
      </c>
      <c r="Y270" s="92" t="s">
        <v>972</v>
      </c>
      <c r="Z270" s="87" t="str">
        <f>HYPERLINK("https://twitter.com/tunopokekru/status/1281211087526887425")</f>
        <v>https://twitter.com/tunopokekru/status/1281211087526887425</v>
      </c>
      <c r="AA270" s="84"/>
      <c r="AB270" s="84"/>
      <c r="AC270" s="92" t="s">
        <v>1391</v>
      </c>
      <c r="AD270" s="84"/>
      <c r="AE270" s="84" t="b">
        <v>0</v>
      </c>
      <c r="AF270" s="84">
        <v>7</v>
      </c>
      <c r="AG270" s="92" t="s">
        <v>1724</v>
      </c>
      <c r="AH270" s="84" t="b">
        <v>0</v>
      </c>
      <c r="AI270" s="84" t="s">
        <v>1750</v>
      </c>
      <c r="AJ270" s="84"/>
      <c r="AK270" s="92" t="s">
        <v>1724</v>
      </c>
      <c r="AL270" s="84" t="b">
        <v>0</v>
      </c>
      <c r="AM270" s="84">
        <v>0</v>
      </c>
      <c r="AN270" s="92" t="s">
        <v>1724</v>
      </c>
      <c r="AO270" s="84" t="s">
        <v>1766</v>
      </c>
      <c r="AP270" s="84" t="b">
        <v>0</v>
      </c>
      <c r="AQ270" s="92" t="s">
        <v>1391</v>
      </c>
      <c r="AR270" s="84" t="s">
        <v>179</v>
      </c>
      <c r="AS270" s="84">
        <v>0</v>
      </c>
      <c r="AT270" s="84">
        <v>0</v>
      </c>
      <c r="AU270" s="84"/>
      <c r="AV270" s="84"/>
      <c r="AW270" s="84"/>
      <c r="AX270" s="84"/>
      <c r="AY270" s="84"/>
      <c r="AZ270" s="84"/>
      <c r="BA270" s="84"/>
      <c r="BB270" s="84"/>
    </row>
    <row r="271" spans="1:54" x14ac:dyDescent="0.2">
      <c r="A271" s="69" t="s">
        <v>363</v>
      </c>
      <c r="B271" s="69" t="s">
        <v>363</v>
      </c>
      <c r="C271" s="70"/>
      <c r="D271" s="71"/>
      <c r="E271" s="72"/>
      <c r="F271" s="73"/>
      <c r="G271" s="70"/>
      <c r="H271" s="74"/>
      <c r="I271" s="75"/>
      <c r="J271" s="75"/>
      <c r="K271" s="36"/>
      <c r="L271" s="82"/>
      <c r="M271" s="82"/>
      <c r="N271" s="77"/>
      <c r="O271" s="84" t="s">
        <v>179</v>
      </c>
      <c r="P271" s="86">
        <v>44021.533310185187</v>
      </c>
      <c r="Q271" s="84" t="s">
        <v>694</v>
      </c>
      <c r="R271" s="84"/>
      <c r="S271" s="84"/>
      <c r="T271" s="84" t="s">
        <v>781</v>
      </c>
      <c r="U271" s="87" t="str">
        <f>HYPERLINK("https://pbs.twimg.com/media/EcfEUFcVcAEH7LK.jpg")</f>
        <v>https://pbs.twimg.com/media/EcfEUFcVcAEH7LK.jpg</v>
      </c>
      <c r="V271" s="87" t="str">
        <f>HYPERLINK("https://pbs.twimg.com/media/EcfEUFcVcAEH7LK.jpg")</f>
        <v>https://pbs.twimg.com/media/EcfEUFcVcAEH7LK.jpg</v>
      </c>
      <c r="W271" s="86">
        <v>44021.533310185187</v>
      </c>
      <c r="X271" s="90">
        <v>44021</v>
      </c>
      <c r="Y271" s="92" t="s">
        <v>1150</v>
      </c>
      <c r="Z271" s="87" t="str">
        <f>HYPERLINK("https://twitter.com/mino_0916/status/1281208474257375232")</f>
        <v>https://twitter.com/mino_0916/status/1281208474257375232</v>
      </c>
      <c r="AA271" s="84"/>
      <c r="AB271" s="84"/>
      <c r="AC271" s="92" t="s">
        <v>1571</v>
      </c>
      <c r="AD271" s="84"/>
      <c r="AE271" s="84" t="b">
        <v>0</v>
      </c>
      <c r="AF271" s="84">
        <v>19</v>
      </c>
      <c r="AG271" s="92" t="s">
        <v>1724</v>
      </c>
      <c r="AH271" s="84" t="b">
        <v>0</v>
      </c>
      <c r="AI271" s="84" t="s">
        <v>1750</v>
      </c>
      <c r="AJ271" s="84"/>
      <c r="AK271" s="92" t="s">
        <v>1724</v>
      </c>
      <c r="AL271" s="84" t="b">
        <v>0</v>
      </c>
      <c r="AM271" s="84">
        <v>0</v>
      </c>
      <c r="AN271" s="92" t="s">
        <v>1724</v>
      </c>
      <c r="AO271" s="84" t="s">
        <v>1763</v>
      </c>
      <c r="AP271" s="84" t="b">
        <v>0</v>
      </c>
      <c r="AQ271" s="92" t="s">
        <v>1571</v>
      </c>
      <c r="AR271" s="84" t="s">
        <v>179</v>
      </c>
      <c r="AS271" s="84">
        <v>0</v>
      </c>
      <c r="AT271" s="84">
        <v>0</v>
      </c>
      <c r="AU271" s="84"/>
      <c r="AV271" s="84"/>
      <c r="AW271" s="84"/>
      <c r="AX271" s="84"/>
      <c r="AY271" s="84"/>
      <c r="AZ271" s="84"/>
      <c r="BA271" s="84"/>
      <c r="BB271" s="84"/>
    </row>
    <row r="272" spans="1:54" x14ac:dyDescent="0.2">
      <c r="A272" s="69" t="s">
        <v>335</v>
      </c>
      <c r="B272" s="69" t="s">
        <v>335</v>
      </c>
      <c r="C272" s="70"/>
      <c r="D272" s="71"/>
      <c r="E272" s="72"/>
      <c r="F272" s="73"/>
      <c r="G272" s="70"/>
      <c r="H272" s="74"/>
      <c r="I272" s="75"/>
      <c r="J272" s="75"/>
      <c r="K272" s="36"/>
      <c r="L272" s="82"/>
      <c r="M272" s="82"/>
      <c r="N272" s="77"/>
      <c r="O272" s="84" t="s">
        <v>179</v>
      </c>
      <c r="P272" s="86">
        <v>44021.514722222222</v>
      </c>
      <c r="Q272" s="84" t="s">
        <v>635</v>
      </c>
      <c r="R272" s="84"/>
      <c r="S272" s="84"/>
      <c r="T272" s="84" t="s">
        <v>780</v>
      </c>
      <c r="U272" s="87" t="str">
        <f>HYPERLINK("https://pbs.twimg.com/media/Ece-MF-VcAI6Qxj.jpg")</f>
        <v>https://pbs.twimg.com/media/Ece-MF-VcAI6Qxj.jpg</v>
      </c>
      <c r="V272" s="87" t="str">
        <f>HYPERLINK("https://pbs.twimg.com/media/Ece-MF-VcAI6Qxj.jpg")</f>
        <v>https://pbs.twimg.com/media/Ece-MF-VcAI6Qxj.jpg</v>
      </c>
      <c r="W272" s="86">
        <v>44021.514722222222</v>
      </c>
      <c r="X272" s="90">
        <v>44021</v>
      </c>
      <c r="Y272" s="92" t="s">
        <v>1027</v>
      </c>
      <c r="Z272" s="87" t="str">
        <f>HYPERLINK("https://twitter.com/haruhibipapa241/status/1281201739408896001")</f>
        <v>https://twitter.com/haruhibipapa241/status/1281201739408896001</v>
      </c>
      <c r="AA272" s="84"/>
      <c r="AB272" s="84"/>
      <c r="AC272" s="92" t="s">
        <v>1446</v>
      </c>
      <c r="AD272" s="84"/>
      <c r="AE272" s="84" t="b">
        <v>0</v>
      </c>
      <c r="AF272" s="84">
        <v>4</v>
      </c>
      <c r="AG272" s="92" t="s">
        <v>1724</v>
      </c>
      <c r="AH272" s="84" t="b">
        <v>0</v>
      </c>
      <c r="AI272" s="84" t="s">
        <v>1750</v>
      </c>
      <c r="AJ272" s="84"/>
      <c r="AK272" s="92" t="s">
        <v>1724</v>
      </c>
      <c r="AL272" s="84" t="b">
        <v>0</v>
      </c>
      <c r="AM272" s="84">
        <v>0</v>
      </c>
      <c r="AN272" s="92" t="s">
        <v>1724</v>
      </c>
      <c r="AO272" s="84" t="s">
        <v>1764</v>
      </c>
      <c r="AP272" s="84" t="b">
        <v>0</v>
      </c>
      <c r="AQ272" s="92" t="s">
        <v>1446</v>
      </c>
      <c r="AR272" s="84" t="s">
        <v>179</v>
      </c>
      <c r="AS272" s="84">
        <v>0</v>
      </c>
      <c r="AT272" s="84">
        <v>0</v>
      </c>
      <c r="AU272" s="84"/>
      <c r="AV272" s="84"/>
      <c r="AW272" s="84"/>
      <c r="AX272" s="84"/>
      <c r="AY272" s="84"/>
      <c r="AZ272" s="84"/>
      <c r="BA272" s="84"/>
      <c r="BB272" s="84"/>
    </row>
    <row r="273" spans="1:54" x14ac:dyDescent="0.2">
      <c r="A273" s="69" t="s">
        <v>305</v>
      </c>
      <c r="B273" s="69" t="s">
        <v>305</v>
      </c>
      <c r="C273" s="70"/>
      <c r="D273" s="71"/>
      <c r="E273" s="72"/>
      <c r="F273" s="73"/>
      <c r="G273" s="70"/>
      <c r="H273" s="74"/>
      <c r="I273" s="75"/>
      <c r="J273" s="75"/>
      <c r="K273" s="36"/>
      <c r="L273" s="82"/>
      <c r="M273" s="82"/>
      <c r="N273" s="77"/>
      <c r="O273" s="84" t="s">
        <v>179</v>
      </c>
      <c r="P273" s="86">
        <v>44021.384953703702</v>
      </c>
      <c r="Q273" s="84" t="s">
        <v>587</v>
      </c>
      <c r="R273" s="84"/>
      <c r="S273" s="84"/>
      <c r="T273" s="84" t="s">
        <v>780</v>
      </c>
      <c r="U273" s="87" t="str">
        <f>HYPERLINK("https://pbs.twimg.com/media/EceTantU4AAdMZz.jpg")</f>
        <v>https://pbs.twimg.com/media/EceTantU4AAdMZz.jpg</v>
      </c>
      <c r="V273" s="87" t="str">
        <f>HYPERLINK("https://pbs.twimg.com/media/EceTantU4AAdMZz.jpg")</f>
        <v>https://pbs.twimg.com/media/EceTantU4AAdMZz.jpg</v>
      </c>
      <c r="W273" s="86">
        <v>44021.384953703702</v>
      </c>
      <c r="X273" s="90">
        <v>44021</v>
      </c>
      <c r="Y273" s="92" t="s">
        <v>971</v>
      </c>
      <c r="Z273" s="87" t="str">
        <f>HYPERLINK("https://twitter.com/otamaimai/status/1281154711672860672")</f>
        <v>https://twitter.com/otamaimai/status/1281154711672860672</v>
      </c>
      <c r="AA273" s="84"/>
      <c r="AB273" s="84"/>
      <c r="AC273" s="92" t="s">
        <v>1390</v>
      </c>
      <c r="AD273" s="84"/>
      <c r="AE273" s="84" t="b">
        <v>0</v>
      </c>
      <c r="AF273" s="84">
        <v>22</v>
      </c>
      <c r="AG273" s="92" t="s">
        <v>1724</v>
      </c>
      <c r="AH273" s="84" t="b">
        <v>0</v>
      </c>
      <c r="AI273" s="84" t="s">
        <v>1750</v>
      </c>
      <c r="AJ273" s="84"/>
      <c r="AK273" s="92" t="s">
        <v>1724</v>
      </c>
      <c r="AL273" s="84" t="b">
        <v>0</v>
      </c>
      <c r="AM273" s="84">
        <v>0</v>
      </c>
      <c r="AN273" s="92" t="s">
        <v>1724</v>
      </c>
      <c r="AO273" s="84" t="s">
        <v>1763</v>
      </c>
      <c r="AP273" s="84" t="b">
        <v>0</v>
      </c>
      <c r="AQ273" s="92" t="s">
        <v>1390</v>
      </c>
      <c r="AR273" s="84" t="s">
        <v>179</v>
      </c>
      <c r="AS273" s="84">
        <v>0</v>
      </c>
      <c r="AT273" s="84">
        <v>0</v>
      </c>
      <c r="AU273" s="84"/>
      <c r="AV273" s="84"/>
      <c r="AW273" s="84"/>
      <c r="AX273" s="84"/>
      <c r="AY273" s="84"/>
      <c r="AZ273" s="84"/>
      <c r="BA273" s="84"/>
      <c r="BB273" s="84"/>
    </row>
    <row r="274" spans="1:54" x14ac:dyDescent="0.2">
      <c r="A274" s="69" t="s">
        <v>409</v>
      </c>
      <c r="B274" s="69" t="s">
        <v>409</v>
      </c>
      <c r="C274" s="70"/>
      <c r="D274" s="71"/>
      <c r="E274" s="72"/>
      <c r="F274" s="73"/>
      <c r="G274" s="70"/>
      <c r="H274" s="74"/>
      <c r="I274" s="75"/>
      <c r="J274" s="75"/>
      <c r="K274" s="36"/>
      <c r="L274" s="82"/>
      <c r="M274" s="82"/>
      <c r="N274" s="77"/>
      <c r="O274" s="84" t="s">
        <v>179</v>
      </c>
      <c r="P274" s="86">
        <v>44021.373622685183</v>
      </c>
      <c r="Q274" s="84" t="s">
        <v>703</v>
      </c>
      <c r="R274" s="84"/>
      <c r="S274" s="84"/>
      <c r="T274" s="84" t="s">
        <v>781</v>
      </c>
      <c r="U274" s="84"/>
      <c r="V274" s="87" t="str">
        <f>HYPERLINK("http://pbs.twimg.com/profile_images/1236668333157519361/R8t7DbMO_normal.jpg")</f>
        <v>http://pbs.twimg.com/profile_images/1236668333157519361/R8t7DbMO_normal.jpg</v>
      </c>
      <c r="W274" s="86">
        <v>44021.373622685183</v>
      </c>
      <c r="X274" s="90">
        <v>44021</v>
      </c>
      <c r="Y274" s="92" t="s">
        <v>1170</v>
      </c>
      <c r="Z274" s="87" t="str">
        <f>HYPERLINK("https://twitter.com/sinxsan/status/1281150603956117504")</f>
        <v>https://twitter.com/sinxsan/status/1281150603956117504</v>
      </c>
      <c r="AA274" s="84"/>
      <c r="AB274" s="84"/>
      <c r="AC274" s="92" t="s">
        <v>1591</v>
      </c>
      <c r="AD274" s="92" t="s">
        <v>1590</v>
      </c>
      <c r="AE274" s="84" t="b">
        <v>0</v>
      </c>
      <c r="AF274" s="84">
        <v>4</v>
      </c>
      <c r="AG274" s="92" t="s">
        <v>1740</v>
      </c>
      <c r="AH274" s="84" t="b">
        <v>0</v>
      </c>
      <c r="AI274" s="84" t="s">
        <v>1750</v>
      </c>
      <c r="AJ274" s="84"/>
      <c r="AK274" s="92" t="s">
        <v>1724</v>
      </c>
      <c r="AL274" s="84" t="b">
        <v>0</v>
      </c>
      <c r="AM274" s="84">
        <v>0</v>
      </c>
      <c r="AN274" s="92" t="s">
        <v>1724</v>
      </c>
      <c r="AO274" s="84" t="s">
        <v>1766</v>
      </c>
      <c r="AP274" s="84" t="b">
        <v>0</v>
      </c>
      <c r="AQ274" s="92" t="s">
        <v>1590</v>
      </c>
      <c r="AR274" s="84" t="s">
        <v>179</v>
      </c>
      <c r="AS274" s="84">
        <v>0</v>
      </c>
      <c r="AT274" s="84">
        <v>0</v>
      </c>
      <c r="AU274" s="84"/>
      <c r="AV274" s="84"/>
      <c r="AW274" s="84"/>
      <c r="AX274" s="84"/>
      <c r="AY274" s="84"/>
      <c r="AZ274" s="84"/>
      <c r="BA274" s="84"/>
      <c r="BB274" s="84"/>
    </row>
    <row r="275" spans="1:54" x14ac:dyDescent="0.2">
      <c r="A275" s="69" t="s">
        <v>304</v>
      </c>
      <c r="B275" s="69" t="s">
        <v>400</v>
      </c>
      <c r="C275" s="70"/>
      <c r="D275" s="71"/>
      <c r="E275" s="72"/>
      <c r="F275" s="73"/>
      <c r="G275" s="70"/>
      <c r="H275" s="74"/>
      <c r="I275" s="75"/>
      <c r="J275" s="75"/>
      <c r="K275" s="36"/>
      <c r="L275" s="82"/>
      <c r="M275" s="82"/>
      <c r="N275" s="77"/>
      <c r="O275" s="84" t="s">
        <v>500</v>
      </c>
      <c r="P275" s="86">
        <v>44021.37290509259</v>
      </c>
      <c r="Q275" s="84" t="s">
        <v>586</v>
      </c>
      <c r="R275" s="87" t="str">
        <f>HYPERLINK("https://m.facebook.com/anunknownkraftsman")</f>
        <v>https://m.facebook.com/anunknownkraftsman</v>
      </c>
      <c r="S275" s="84" t="s">
        <v>772</v>
      </c>
      <c r="T275" s="84" t="s">
        <v>815</v>
      </c>
      <c r="U275" s="84"/>
      <c r="V275" s="87" t="str">
        <f>HYPERLINK("http://pbs.twimg.com/profile_images/1231475845404872704/jaSuplIQ_normal.jpg")</f>
        <v>http://pbs.twimg.com/profile_images/1231475845404872704/jaSuplIQ_normal.jpg</v>
      </c>
      <c r="W275" s="86">
        <v>44021.37290509259</v>
      </c>
      <c r="X275" s="90">
        <v>44021</v>
      </c>
      <c r="Y275" s="92" t="s">
        <v>970</v>
      </c>
      <c r="Z275" s="87" t="str">
        <f>HYPERLINK("https://twitter.com/reartistron/status/1281150345721319424")</f>
        <v>https://twitter.com/reartistron/status/1281150345721319424</v>
      </c>
      <c r="AA275" s="84"/>
      <c r="AB275" s="84"/>
      <c r="AC275" s="92" t="s">
        <v>1389</v>
      </c>
      <c r="AD275" s="84"/>
      <c r="AE275" s="84" t="b">
        <v>0</v>
      </c>
      <c r="AF275" s="84">
        <v>0</v>
      </c>
      <c r="AG275" s="92" t="s">
        <v>1724</v>
      </c>
      <c r="AH275" s="84" t="b">
        <v>0</v>
      </c>
      <c r="AI275" s="84" t="s">
        <v>1751</v>
      </c>
      <c r="AJ275" s="84"/>
      <c r="AK275" s="92" t="s">
        <v>1724</v>
      </c>
      <c r="AL275" s="84" t="b">
        <v>0</v>
      </c>
      <c r="AM275" s="84">
        <v>1</v>
      </c>
      <c r="AN275" s="92" t="s">
        <v>1554</v>
      </c>
      <c r="AO275" s="84" t="s">
        <v>1779</v>
      </c>
      <c r="AP275" s="84" t="b">
        <v>0</v>
      </c>
      <c r="AQ275" s="92" t="s">
        <v>1554</v>
      </c>
      <c r="AR275" s="84" t="s">
        <v>179</v>
      </c>
      <c r="AS275" s="84">
        <v>0</v>
      </c>
      <c r="AT275" s="84">
        <v>0</v>
      </c>
      <c r="AU275" s="84"/>
      <c r="AV275" s="84"/>
      <c r="AW275" s="84"/>
      <c r="AX275" s="84"/>
      <c r="AY275" s="84"/>
      <c r="AZ275" s="84"/>
      <c r="BA275" s="84"/>
      <c r="BB275" s="84"/>
    </row>
    <row r="276" spans="1:54" x14ac:dyDescent="0.2">
      <c r="A276" s="69" t="s">
        <v>303</v>
      </c>
      <c r="B276" s="69" t="s">
        <v>303</v>
      </c>
      <c r="C276" s="70"/>
      <c r="D276" s="71"/>
      <c r="E276" s="72"/>
      <c r="F276" s="73"/>
      <c r="G276" s="70"/>
      <c r="H276" s="74"/>
      <c r="I276" s="75"/>
      <c r="J276" s="75"/>
      <c r="K276" s="36"/>
      <c r="L276" s="82"/>
      <c r="M276" s="82"/>
      <c r="N276" s="77"/>
      <c r="O276" s="84" t="s">
        <v>179</v>
      </c>
      <c r="P276" s="86">
        <v>44021.371527777781</v>
      </c>
      <c r="Q276" s="84" t="s">
        <v>585</v>
      </c>
      <c r="R276" s="84"/>
      <c r="S276" s="84"/>
      <c r="T276" s="84" t="s">
        <v>781</v>
      </c>
      <c r="U276" s="87" t="str">
        <f>HYPERLINK("https://pbs.twimg.com/media/EceO-4YVAAEWsGz.jpg")</f>
        <v>https://pbs.twimg.com/media/EceO-4YVAAEWsGz.jpg</v>
      </c>
      <c r="V276" s="87" t="str">
        <f>HYPERLINK("https://pbs.twimg.com/media/EceO-4YVAAEWsGz.jpg")</f>
        <v>https://pbs.twimg.com/media/EceO-4YVAAEWsGz.jpg</v>
      </c>
      <c r="W276" s="86">
        <v>44021.371527777781</v>
      </c>
      <c r="X276" s="90">
        <v>44021</v>
      </c>
      <c r="Y276" s="92" t="s">
        <v>969</v>
      </c>
      <c r="Z276" s="87" t="str">
        <f>HYPERLINK("https://twitter.com/shoupokeaka/status/1281149844820639745")</f>
        <v>https://twitter.com/shoupokeaka/status/1281149844820639745</v>
      </c>
      <c r="AA276" s="84"/>
      <c r="AB276" s="84"/>
      <c r="AC276" s="92" t="s">
        <v>1388</v>
      </c>
      <c r="AD276" s="84"/>
      <c r="AE276" s="84" t="b">
        <v>0</v>
      </c>
      <c r="AF276" s="84">
        <v>4</v>
      </c>
      <c r="AG276" s="92" t="s">
        <v>1724</v>
      </c>
      <c r="AH276" s="84" t="b">
        <v>0</v>
      </c>
      <c r="AI276" s="84" t="s">
        <v>1750</v>
      </c>
      <c r="AJ276" s="84"/>
      <c r="AK276" s="92" t="s">
        <v>1724</v>
      </c>
      <c r="AL276" s="84" t="b">
        <v>0</v>
      </c>
      <c r="AM276" s="84">
        <v>0</v>
      </c>
      <c r="AN276" s="92" t="s">
        <v>1724</v>
      </c>
      <c r="AO276" s="84" t="s">
        <v>1764</v>
      </c>
      <c r="AP276" s="84" t="b">
        <v>0</v>
      </c>
      <c r="AQ276" s="92" t="s">
        <v>1388</v>
      </c>
      <c r="AR276" s="84" t="s">
        <v>179</v>
      </c>
      <c r="AS276" s="84">
        <v>0</v>
      </c>
      <c r="AT276" s="84">
        <v>0</v>
      </c>
      <c r="AU276" s="84"/>
      <c r="AV276" s="84"/>
      <c r="AW276" s="84"/>
      <c r="AX276" s="84"/>
      <c r="AY276" s="84"/>
      <c r="AZ276" s="84"/>
      <c r="BA276" s="84"/>
      <c r="BB276" s="84"/>
    </row>
    <row r="277" spans="1:54" x14ac:dyDescent="0.2">
      <c r="A277" s="69" t="s">
        <v>302</v>
      </c>
      <c r="B277" s="69" t="s">
        <v>302</v>
      </c>
      <c r="C277" s="70"/>
      <c r="D277" s="71"/>
      <c r="E277" s="72"/>
      <c r="F277" s="73"/>
      <c r="G277" s="70"/>
      <c r="H277" s="74"/>
      <c r="I277" s="75"/>
      <c r="J277" s="75"/>
      <c r="K277" s="36"/>
      <c r="L277" s="82"/>
      <c r="M277" s="82"/>
      <c r="N277" s="77"/>
      <c r="O277" s="84" t="s">
        <v>179</v>
      </c>
      <c r="P277" s="86">
        <v>44021.359884259262</v>
      </c>
      <c r="Q277" s="84" t="s">
        <v>584</v>
      </c>
      <c r="R277" s="87" t="str">
        <f>HYPERLINK("https://www.bloceyewear.com/")</f>
        <v>https://www.bloceyewear.com/</v>
      </c>
      <c r="S277" s="84" t="s">
        <v>771</v>
      </c>
      <c r="T277" s="84" t="s">
        <v>814</v>
      </c>
      <c r="U277" s="87" t="str">
        <f>HYPERLINK("https://pbs.twimg.com/media/EceLKLpWAAERTQM.jpg")</f>
        <v>https://pbs.twimg.com/media/EceLKLpWAAERTQM.jpg</v>
      </c>
      <c r="V277" s="87" t="str">
        <f>HYPERLINK("https://pbs.twimg.com/media/EceLKLpWAAERTQM.jpg")</f>
        <v>https://pbs.twimg.com/media/EceLKLpWAAERTQM.jpg</v>
      </c>
      <c r="W277" s="86">
        <v>44021.359884259262</v>
      </c>
      <c r="X277" s="90">
        <v>44021</v>
      </c>
      <c r="Y277" s="92" t="s">
        <v>968</v>
      </c>
      <c r="Z277" s="87" t="str">
        <f>HYPERLINK("https://twitter.com/bloceyewear/status/1281145628203126784")</f>
        <v>https://twitter.com/bloceyewear/status/1281145628203126784</v>
      </c>
      <c r="AA277" s="84"/>
      <c r="AB277" s="84"/>
      <c r="AC277" s="92" t="s">
        <v>1387</v>
      </c>
      <c r="AD277" s="84"/>
      <c r="AE277" s="84" t="b">
        <v>0</v>
      </c>
      <c r="AF277" s="84">
        <v>2</v>
      </c>
      <c r="AG277" s="92" t="s">
        <v>1724</v>
      </c>
      <c r="AH277" s="84" t="b">
        <v>0</v>
      </c>
      <c r="AI277" s="84" t="s">
        <v>1751</v>
      </c>
      <c r="AJ277" s="84"/>
      <c r="AK277" s="92" t="s">
        <v>1724</v>
      </c>
      <c r="AL277" s="84" t="b">
        <v>0</v>
      </c>
      <c r="AM277" s="84">
        <v>0</v>
      </c>
      <c r="AN277" s="92" t="s">
        <v>1724</v>
      </c>
      <c r="AO277" s="84" t="s">
        <v>1778</v>
      </c>
      <c r="AP277" s="84" t="b">
        <v>0</v>
      </c>
      <c r="AQ277" s="92" t="s">
        <v>1387</v>
      </c>
      <c r="AR277" s="84" t="s">
        <v>179</v>
      </c>
      <c r="AS277" s="84">
        <v>0</v>
      </c>
      <c r="AT277" s="84">
        <v>0</v>
      </c>
      <c r="AU277" s="84"/>
      <c r="AV277" s="84"/>
      <c r="AW277" s="84"/>
      <c r="AX277" s="84"/>
      <c r="AY277" s="84"/>
      <c r="AZ277" s="84"/>
      <c r="BA277" s="84"/>
      <c r="BB277" s="84"/>
    </row>
    <row r="278" spans="1:54" x14ac:dyDescent="0.2">
      <c r="A278" s="69" t="s">
        <v>342</v>
      </c>
      <c r="B278" s="69" t="s">
        <v>342</v>
      </c>
      <c r="C278" s="70"/>
      <c r="D278" s="71"/>
      <c r="E278" s="72"/>
      <c r="F278" s="73"/>
      <c r="G278" s="70"/>
      <c r="H278" s="74"/>
      <c r="I278" s="75"/>
      <c r="J278" s="75"/>
      <c r="K278" s="36"/>
      <c r="L278" s="82"/>
      <c r="M278" s="82"/>
      <c r="N278" s="77"/>
      <c r="O278" s="84" t="s">
        <v>179</v>
      </c>
      <c r="P278" s="86">
        <v>44021.340543981481</v>
      </c>
      <c r="Q278" s="84" t="s">
        <v>641</v>
      </c>
      <c r="R278" s="84"/>
      <c r="S278" s="84"/>
      <c r="T278" s="84" t="s">
        <v>831</v>
      </c>
      <c r="U278" s="87" t="str">
        <f>HYPERLINK("https://pbs.twimg.com/media/EceEcW-U8AAjOUx.png")</f>
        <v>https://pbs.twimg.com/media/EceEcW-U8AAjOUx.png</v>
      </c>
      <c r="V278" s="87" t="str">
        <f>HYPERLINK("https://pbs.twimg.com/media/EceEcW-U8AAjOUx.png")</f>
        <v>https://pbs.twimg.com/media/EceEcW-U8AAjOUx.png</v>
      </c>
      <c r="W278" s="86">
        <v>44021.340543981481</v>
      </c>
      <c r="X278" s="90">
        <v>44021</v>
      </c>
      <c r="Y278" s="92" t="s">
        <v>1038</v>
      </c>
      <c r="Z278" s="87" t="str">
        <f>HYPERLINK("https://twitter.com/mameojaru/status/1281138618375958528")</f>
        <v>https://twitter.com/mameojaru/status/1281138618375958528</v>
      </c>
      <c r="AA278" s="84"/>
      <c r="AB278" s="84"/>
      <c r="AC278" s="92" t="s">
        <v>1457</v>
      </c>
      <c r="AD278" s="84"/>
      <c r="AE278" s="84" t="b">
        <v>0</v>
      </c>
      <c r="AF278" s="84">
        <v>8</v>
      </c>
      <c r="AG278" s="92" t="s">
        <v>1724</v>
      </c>
      <c r="AH278" s="84" t="b">
        <v>0</v>
      </c>
      <c r="AI278" s="84" t="s">
        <v>1750</v>
      </c>
      <c r="AJ278" s="84"/>
      <c r="AK278" s="92" t="s">
        <v>1724</v>
      </c>
      <c r="AL278" s="84" t="b">
        <v>0</v>
      </c>
      <c r="AM278" s="84">
        <v>0</v>
      </c>
      <c r="AN278" s="92" t="s">
        <v>1724</v>
      </c>
      <c r="AO278" s="84" t="s">
        <v>1766</v>
      </c>
      <c r="AP278" s="84" t="b">
        <v>0</v>
      </c>
      <c r="AQ278" s="92" t="s">
        <v>1457</v>
      </c>
      <c r="AR278" s="84" t="s">
        <v>179</v>
      </c>
      <c r="AS278" s="84">
        <v>0</v>
      </c>
      <c r="AT278" s="84">
        <v>0</v>
      </c>
      <c r="AU278" s="84"/>
      <c r="AV278" s="84"/>
      <c r="AW278" s="84"/>
      <c r="AX278" s="84"/>
      <c r="AY278" s="84"/>
      <c r="AZ278" s="84"/>
      <c r="BA278" s="84"/>
      <c r="BB278" s="84"/>
    </row>
    <row r="279" spans="1:54" x14ac:dyDescent="0.2">
      <c r="A279" s="69" t="s">
        <v>365</v>
      </c>
      <c r="B279" s="69" t="s">
        <v>365</v>
      </c>
      <c r="C279" s="70"/>
      <c r="D279" s="71"/>
      <c r="E279" s="72"/>
      <c r="F279" s="73"/>
      <c r="G279" s="70"/>
      <c r="H279" s="74"/>
      <c r="I279" s="75"/>
      <c r="J279" s="75"/>
      <c r="K279" s="36"/>
      <c r="L279" s="82"/>
      <c r="M279" s="82"/>
      <c r="N279" s="77"/>
      <c r="O279" s="84" t="s">
        <v>179</v>
      </c>
      <c r="P279" s="86">
        <v>44021.339108796295</v>
      </c>
      <c r="Q279" s="84" t="s">
        <v>594</v>
      </c>
      <c r="R279" s="84"/>
      <c r="S279" s="84"/>
      <c r="T279" s="84" t="s">
        <v>781</v>
      </c>
      <c r="U279" s="87" t="str">
        <f>HYPERLINK("https://pbs.twimg.com/media/EceES2uU4AIr3af.jpg")</f>
        <v>https://pbs.twimg.com/media/EceES2uU4AIr3af.jpg</v>
      </c>
      <c r="V279" s="87" t="str">
        <f>HYPERLINK("https://pbs.twimg.com/media/EceES2uU4AIr3af.jpg")</f>
        <v>https://pbs.twimg.com/media/EceES2uU4AIr3af.jpg</v>
      </c>
      <c r="W279" s="86">
        <v>44021.339108796295</v>
      </c>
      <c r="X279" s="90">
        <v>44021</v>
      </c>
      <c r="Y279" s="92" t="s">
        <v>1090</v>
      </c>
      <c r="Z279" s="87" t="str">
        <f>HYPERLINK("https://twitter.com/tera7998/status/1281138097275539456")</f>
        <v>https://twitter.com/tera7998/status/1281138097275539456</v>
      </c>
      <c r="AA279" s="84"/>
      <c r="AB279" s="84"/>
      <c r="AC279" s="92" t="s">
        <v>1509</v>
      </c>
      <c r="AD279" s="84"/>
      <c r="AE279" s="84" t="b">
        <v>0</v>
      </c>
      <c r="AF279" s="84">
        <v>28</v>
      </c>
      <c r="AG279" s="92" t="s">
        <v>1724</v>
      </c>
      <c r="AH279" s="84" t="b">
        <v>0</v>
      </c>
      <c r="AI279" s="84" t="s">
        <v>1750</v>
      </c>
      <c r="AJ279" s="84"/>
      <c r="AK279" s="92" t="s">
        <v>1724</v>
      </c>
      <c r="AL279" s="84" t="b">
        <v>0</v>
      </c>
      <c r="AM279" s="84">
        <v>1</v>
      </c>
      <c r="AN279" s="92" t="s">
        <v>1724</v>
      </c>
      <c r="AO279" s="84" t="s">
        <v>1764</v>
      </c>
      <c r="AP279" s="84" t="b">
        <v>0</v>
      </c>
      <c r="AQ279" s="92" t="s">
        <v>1509</v>
      </c>
      <c r="AR279" s="84" t="s">
        <v>179</v>
      </c>
      <c r="AS279" s="84">
        <v>0</v>
      </c>
      <c r="AT279" s="84">
        <v>0</v>
      </c>
      <c r="AU279" s="84"/>
      <c r="AV279" s="84"/>
      <c r="AW279" s="84"/>
      <c r="AX279" s="84"/>
      <c r="AY279" s="84"/>
      <c r="AZ279" s="84"/>
      <c r="BA279" s="84"/>
      <c r="BB279" s="84"/>
    </row>
    <row r="280" spans="1:54" x14ac:dyDescent="0.2">
      <c r="A280" s="69" t="s">
        <v>342</v>
      </c>
      <c r="B280" s="69" t="s">
        <v>342</v>
      </c>
      <c r="C280" s="70"/>
      <c r="D280" s="71"/>
      <c r="E280" s="72"/>
      <c r="F280" s="73"/>
      <c r="G280" s="70"/>
      <c r="H280" s="74"/>
      <c r="I280" s="75"/>
      <c r="J280" s="75"/>
      <c r="K280" s="36"/>
      <c r="L280" s="82"/>
      <c r="M280" s="82"/>
      <c r="N280" s="77"/>
      <c r="O280" s="84" t="s">
        <v>179</v>
      </c>
      <c r="P280" s="86">
        <v>44021.335405092592</v>
      </c>
      <c r="Q280" s="84" t="s">
        <v>640</v>
      </c>
      <c r="R280" s="84"/>
      <c r="S280" s="84"/>
      <c r="T280" s="84" t="s">
        <v>781</v>
      </c>
      <c r="U280" s="84"/>
      <c r="V280" s="87" t="str">
        <f>HYPERLINK("http://pbs.twimg.com/profile_images/1263298683879096320/6gwVz81Q_normal.jpg")</f>
        <v>http://pbs.twimg.com/profile_images/1263298683879096320/6gwVz81Q_normal.jpg</v>
      </c>
      <c r="W280" s="86">
        <v>44021.335405092592</v>
      </c>
      <c r="X280" s="90">
        <v>44021</v>
      </c>
      <c r="Y280" s="92" t="s">
        <v>1037</v>
      </c>
      <c r="Z280" s="87" t="str">
        <f>HYPERLINK("https://twitter.com/mameojaru/status/1281136756012675077")</f>
        <v>https://twitter.com/mameojaru/status/1281136756012675077</v>
      </c>
      <c r="AA280" s="84"/>
      <c r="AB280" s="84"/>
      <c r="AC280" s="92" t="s">
        <v>1456</v>
      </c>
      <c r="AD280" s="84"/>
      <c r="AE280" s="84" t="b">
        <v>0</v>
      </c>
      <c r="AF280" s="84">
        <v>4</v>
      </c>
      <c r="AG280" s="92" t="s">
        <v>1724</v>
      </c>
      <c r="AH280" s="84" t="b">
        <v>0</v>
      </c>
      <c r="AI280" s="84" t="s">
        <v>1750</v>
      </c>
      <c r="AJ280" s="84"/>
      <c r="AK280" s="92" t="s">
        <v>1724</v>
      </c>
      <c r="AL280" s="84" t="b">
        <v>0</v>
      </c>
      <c r="AM280" s="84">
        <v>0</v>
      </c>
      <c r="AN280" s="92" t="s">
        <v>1724</v>
      </c>
      <c r="AO280" s="84" t="s">
        <v>1766</v>
      </c>
      <c r="AP280" s="84" t="b">
        <v>0</v>
      </c>
      <c r="AQ280" s="92" t="s">
        <v>1456</v>
      </c>
      <c r="AR280" s="84" t="s">
        <v>179</v>
      </c>
      <c r="AS280" s="84">
        <v>0</v>
      </c>
      <c r="AT280" s="84">
        <v>0</v>
      </c>
      <c r="AU280" s="84"/>
      <c r="AV280" s="84"/>
      <c r="AW280" s="84"/>
      <c r="AX280" s="84"/>
      <c r="AY280" s="84"/>
      <c r="AZ280" s="84"/>
      <c r="BA280" s="84"/>
      <c r="BB280" s="84"/>
    </row>
    <row r="281" spans="1:54" x14ac:dyDescent="0.2">
      <c r="A281" s="69" t="s">
        <v>400</v>
      </c>
      <c r="B281" s="69" t="s">
        <v>400</v>
      </c>
      <c r="C281" s="70"/>
      <c r="D281" s="71"/>
      <c r="E281" s="72"/>
      <c r="F281" s="73"/>
      <c r="G281" s="70"/>
      <c r="H281" s="74"/>
      <c r="I281" s="75"/>
      <c r="J281" s="75"/>
      <c r="K281" s="36"/>
      <c r="L281" s="82"/>
      <c r="M281" s="82"/>
      <c r="N281" s="77"/>
      <c r="O281" s="84" t="s">
        <v>179</v>
      </c>
      <c r="P281" s="86">
        <v>44021.312662037039</v>
      </c>
      <c r="Q281" s="84" t="s">
        <v>586</v>
      </c>
      <c r="R281" s="87" t="str">
        <f>HYPERLINK("https://m.facebook.com/anunknownkraftsman")</f>
        <v>https://m.facebook.com/anunknownkraftsman</v>
      </c>
      <c r="S281" s="84" t="s">
        <v>772</v>
      </c>
      <c r="T281" s="84" t="s">
        <v>842</v>
      </c>
      <c r="U281" s="84"/>
      <c r="V281" s="87" t="str">
        <f>HYPERLINK("http://pbs.twimg.com/profile_images/1142556013167632391/vMubfzN-_normal.jpg")</f>
        <v>http://pbs.twimg.com/profile_images/1142556013167632391/vMubfzN-_normal.jpg</v>
      </c>
      <c r="W281" s="86">
        <v>44021.312662037039</v>
      </c>
      <c r="X281" s="90">
        <v>44021</v>
      </c>
      <c r="Y281" s="92" t="s">
        <v>1135</v>
      </c>
      <c r="Z281" s="87" t="str">
        <f>HYPERLINK("https://twitter.com/hc_mmoor1868/status/1281128512481628160")</f>
        <v>https://twitter.com/hc_mmoor1868/status/1281128512481628160</v>
      </c>
      <c r="AA281" s="84"/>
      <c r="AB281" s="84"/>
      <c r="AC281" s="92" t="s">
        <v>1554</v>
      </c>
      <c r="AD281" s="84"/>
      <c r="AE281" s="84" t="b">
        <v>0</v>
      </c>
      <c r="AF281" s="84">
        <v>0</v>
      </c>
      <c r="AG281" s="92" t="s">
        <v>1724</v>
      </c>
      <c r="AH281" s="84" t="b">
        <v>0</v>
      </c>
      <c r="AI281" s="84" t="s">
        <v>1751</v>
      </c>
      <c r="AJ281" s="84"/>
      <c r="AK281" s="92" t="s">
        <v>1724</v>
      </c>
      <c r="AL281" s="84" t="b">
        <v>0</v>
      </c>
      <c r="AM281" s="84">
        <v>1</v>
      </c>
      <c r="AN281" s="92" t="s">
        <v>1724</v>
      </c>
      <c r="AO281" s="84" t="s">
        <v>1783</v>
      </c>
      <c r="AP281" s="84" t="b">
        <v>0</v>
      </c>
      <c r="AQ281" s="92" t="s">
        <v>1554</v>
      </c>
      <c r="AR281" s="84" t="s">
        <v>179</v>
      </c>
      <c r="AS281" s="84">
        <v>0</v>
      </c>
      <c r="AT281" s="84">
        <v>0</v>
      </c>
      <c r="AU281" s="84"/>
      <c r="AV281" s="84"/>
      <c r="AW281" s="84"/>
      <c r="AX281" s="84"/>
      <c r="AY281" s="84"/>
      <c r="AZ281" s="84"/>
      <c r="BA281" s="84"/>
      <c r="BB281" s="84"/>
    </row>
    <row r="282" spans="1:54" x14ac:dyDescent="0.2">
      <c r="A282" s="69" t="s">
        <v>301</v>
      </c>
      <c r="B282" s="69" t="s">
        <v>301</v>
      </c>
      <c r="C282" s="70"/>
      <c r="D282" s="71"/>
      <c r="E282" s="72"/>
      <c r="F282" s="73"/>
      <c r="G282" s="70"/>
      <c r="H282" s="74"/>
      <c r="I282" s="75"/>
      <c r="J282" s="75"/>
      <c r="K282" s="36"/>
      <c r="L282" s="82"/>
      <c r="M282" s="82"/>
      <c r="N282" s="77"/>
      <c r="O282" s="84" t="s">
        <v>179</v>
      </c>
      <c r="P282" s="86">
        <v>44021.301562499997</v>
      </c>
      <c r="Q282" s="84" t="s">
        <v>583</v>
      </c>
      <c r="R282" s="84"/>
      <c r="S282" s="84"/>
      <c r="T282" s="84" t="s">
        <v>813</v>
      </c>
      <c r="U282" s="84"/>
      <c r="V282" s="87" t="str">
        <f>HYPERLINK("http://pbs.twimg.com/profile_images/1187530107079950337/-3uAAgCe_normal.jpg")</f>
        <v>http://pbs.twimg.com/profile_images/1187530107079950337/-3uAAgCe_normal.jpg</v>
      </c>
      <c r="W282" s="86">
        <v>44021.301562499997</v>
      </c>
      <c r="X282" s="90">
        <v>44021</v>
      </c>
      <c r="Y282" s="92" t="s">
        <v>967</v>
      </c>
      <c r="Z282" s="87" t="str">
        <f>HYPERLINK("https://twitter.com/rrby837/status/1281124489565069312")</f>
        <v>https://twitter.com/rrby837/status/1281124489565069312</v>
      </c>
      <c r="AA282" s="84"/>
      <c r="AB282" s="84"/>
      <c r="AC282" s="92" t="s">
        <v>1386</v>
      </c>
      <c r="AD282" s="84"/>
      <c r="AE282" s="84" t="b">
        <v>0</v>
      </c>
      <c r="AF282" s="84">
        <v>5</v>
      </c>
      <c r="AG282" s="92" t="s">
        <v>1724</v>
      </c>
      <c r="AH282" s="84" t="b">
        <v>0</v>
      </c>
      <c r="AI282" s="84" t="s">
        <v>1750</v>
      </c>
      <c r="AJ282" s="84"/>
      <c r="AK282" s="92" t="s">
        <v>1724</v>
      </c>
      <c r="AL282" s="84" t="b">
        <v>0</v>
      </c>
      <c r="AM282" s="84">
        <v>0</v>
      </c>
      <c r="AN282" s="92" t="s">
        <v>1724</v>
      </c>
      <c r="AO282" s="84" t="s">
        <v>1763</v>
      </c>
      <c r="AP282" s="84" t="b">
        <v>0</v>
      </c>
      <c r="AQ282" s="92" t="s">
        <v>1386</v>
      </c>
      <c r="AR282" s="84" t="s">
        <v>179</v>
      </c>
      <c r="AS282" s="84">
        <v>0</v>
      </c>
      <c r="AT282" s="84">
        <v>0</v>
      </c>
      <c r="AU282" s="84"/>
      <c r="AV282" s="84"/>
      <c r="AW282" s="84"/>
      <c r="AX282" s="84"/>
      <c r="AY282" s="84"/>
      <c r="AZ282" s="84"/>
      <c r="BA282" s="84"/>
      <c r="BB282" s="84"/>
    </row>
    <row r="283" spans="1:54" x14ac:dyDescent="0.2">
      <c r="A283" s="69" t="s">
        <v>317</v>
      </c>
      <c r="B283" s="69" t="s">
        <v>317</v>
      </c>
      <c r="C283" s="70"/>
      <c r="D283" s="71"/>
      <c r="E283" s="72"/>
      <c r="F283" s="73"/>
      <c r="G283" s="70"/>
      <c r="H283" s="74"/>
      <c r="I283" s="75"/>
      <c r="J283" s="75"/>
      <c r="K283" s="36"/>
      <c r="L283" s="82"/>
      <c r="M283" s="82"/>
      <c r="N283" s="77"/>
      <c r="O283" s="84" t="s">
        <v>179</v>
      </c>
      <c r="P283" s="86">
        <v>44021.287280092591</v>
      </c>
      <c r="Q283" s="84" t="s">
        <v>615</v>
      </c>
      <c r="R283" s="84"/>
      <c r="S283" s="84"/>
      <c r="T283" s="84" t="s">
        <v>781</v>
      </c>
      <c r="U283" s="84"/>
      <c r="V283" s="87" t="str">
        <f>HYPERLINK("http://pbs.twimg.com/profile_images/1184241319595503616/ql0WhVqx_normal.jpg")</f>
        <v>http://pbs.twimg.com/profile_images/1184241319595503616/ql0WhVqx_normal.jpg</v>
      </c>
      <c r="W283" s="86">
        <v>44021.287280092591</v>
      </c>
      <c r="X283" s="90">
        <v>44021</v>
      </c>
      <c r="Y283" s="92" t="s">
        <v>1002</v>
      </c>
      <c r="Z283" s="87" t="str">
        <f>HYPERLINK("https://twitter.com/bo_ku_chan_/status/1281119315513630721")</f>
        <v>https://twitter.com/bo_ku_chan_/status/1281119315513630721</v>
      </c>
      <c r="AA283" s="84"/>
      <c r="AB283" s="84"/>
      <c r="AC283" s="92" t="s">
        <v>1421</v>
      </c>
      <c r="AD283" s="84"/>
      <c r="AE283" s="84" t="b">
        <v>0</v>
      </c>
      <c r="AF283" s="84">
        <v>0</v>
      </c>
      <c r="AG283" s="92" t="s">
        <v>1727</v>
      </c>
      <c r="AH283" s="84" t="b">
        <v>0</v>
      </c>
      <c r="AI283" s="84" t="s">
        <v>1750</v>
      </c>
      <c r="AJ283" s="84"/>
      <c r="AK283" s="92" t="s">
        <v>1724</v>
      </c>
      <c r="AL283" s="84" t="b">
        <v>0</v>
      </c>
      <c r="AM283" s="84">
        <v>0</v>
      </c>
      <c r="AN283" s="92" t="s">
        <v>1724</v>
      </c>
      <c r="AO283" s="84" t="s">
        <v>1764</v>
      </c>
      <c r="AP283" s="84" t="b">
        <v>0</v>
      </c>
      <c r="AQ283" s="92" t="s">
        <v>1421</v>
      </c>
      <c r="AR283" s="84" t="s">
        <v>179</v>
      </c>
      <c r="AS283" s="84">
        <v>0</v>
      </c>
      <c r="AT283" s="84">
        <v>0</v>
      </c>
      <c r="AU283" s="84"/>
      <c r="AV283" s="84"/>
      <c r="AW283" s="84"/>
      <c r="AX283" s="84"/>
      <c r="AY283" s="84"/>
      <c r="AZ283" s="84"/>
      <c r="BA283" s="84"/>
      <c r="BB283" s="84"/>
    </row>
    <row r="284" spans="1:54" x14ac:dyDescent="0.2">
      <c r="A284" s="69" t="s">
        <v>459</v>
      </c>
      <c r="B284" s="69" t="s">
        <v>459</v>
      </c>
      <c r="C284" s="70"/>
      <c r="D284" s="71"/>
      <c r="E284" s="72"/>
      <c r="F284" s="73"/>
      <c r="G284" s="70"/>
      <c r="H284" s="74"/>
      <c r="I284" s="75"/>
      <c r="J284" s="75"/>
      <c r="K284" s="36"/>
      <c r="L284" s="82"/>
      <c r="M284" s="82"/>
      <c r="N284" s="77"/>
      <c r="O284" s="84" t="s">
        <v>179</v>
      </c>
      <c r="P284" s="86">
        <v>44021.23709490741</v>
      </c>
      <c r="Q284" s="84" t="s">
        <v>748</v>
      </c>
      <c r="R284" s="87" t="str">
        <f>HYPERLINK("https://www.instagram.com/p/CCaNrTSh3zJ/")</f>
        <v>https://www.instagram.com/p/CCaNrTSh3zJ/</v>
      </c>
      <c r="S284" s="84" t="s">
        <v>759</v>
      </c>
      <c r="T284" s="84" t="s">
        <v>859</v>
      </c>
      <c r="U284" s="87" t="str">
        <f>HYPERLINK("https://pbs.twimg.com/media/Ecdir_NXYAAsO03.jpg")</f>
        <v>https://pbs.twimg.com/media/Ecdir_NXYAAsO03.jpg</v>
      </c>
      <c r="V284" s="87" t="str">
        <f>HYPERLINK("https://pbs.twimg.com/media/Ecdir_NXYAAsO03.jpg")</f>
        <v>https://pbs.twimg.com/media/Ecdir_NXYAAsO03.jpg</v>
      </c>
      <c r="W284" s="86">
        <v>44021.23709490741</v>
      </c>
      <c r="X284" s="90">
        <v>44021</v>
      </c>
      <c r="Y284" s="92" t="s">
        <v>1263</v>
      </c>
      <c r="Z284" s="87" t="str">
        <f>HYPERLINK("https://twitter.com/lookstorei/status/1281101127887577088")</f>
        <v>https://twitter.com/lookstorei/status/1281101127887577088</v>
      </c>
      <c r="AA284" s="84"/>
      <c r="AB284" s="84"/>
      <c r="AC284" s="92" t="s">
        <v>1686</v>
      </c>
      <c r="AD284" s="84"/>
      <c r="AE284" s="84" t="b">
        <v>0</v>
      </c>
      <c r="AF284" s="84">
        <v>0</v>
      </c>
      <c r="AG284" s="92" t="s">
        <v>1724</v>
      </c>
      <c r="AH284" s="84" t="b">
        <v>0</v>
      </c>
      <c r="AI284" s="84" t="s">
        <v>1751</v>
      </c>
      <c r="AJ284" s="84"/>
      <c r="AK284" s="92" t="s">
        <v>1724</v>
      </c>
      <c r="AL284" s="84" t="b">
        <v>0</v>
      </c>
      <c r="AM284" s="84">
        <v>0</v>
      </c>
      <c r="AN284" s="92" t="s">
        <v>1724</v>
      </c>
      <c r="AO284" s="84" t="s">
        <v>1783</v>
      </c>
      <c r="AP284" s="84" t="b">
        <v>0</v>
      </c>
      <c r="AQ284" s="92" t="s">
        <v>1686</v>
      </c>
      <c r="AR284" s="84" t="s">
        <v>179</v>
      </c>
      <c r="AS284" s="84">
        <v>0</v>
      </c>
      <c r="AT284" s="84">
        <v>0</v>
      </c>
      <c r="AU284" s="84"/>
      <c r="AV284" s="84"/>
      <c r="AW284" s="84"/>
      <c r="AX284" s="84"/>
      <c r="AY284" s="84"/>
      <c r="AZ284" s="84"/>
      <c r="BA284" s="84"/>
      <c r="BB284" s="84"/>
    </row>
    <row r="285" spans="1:54" x14ac:dyDescent="0.2">
      <c r="A285" s="69" t="s">
        <v>436</v>
      </c>
      <c r="B285" s="69" t="s">
        <v>440</v>
      </c>
      <c r="C285" s="70"/>
      <c r="D285" s="71"/>
      <c r="E285" s="72"/>
      <c r="F285" s="73"/>
      <c r="G285" s="70"/>
      <c r="H285" s="74"/>
      <c r="I285" s="75"/>
      <c r="J285" s="75"/>
      <c r="K285" s="36"/>
      <c r="L285" s="82"/>
      <c r="M285" s="82"/>
      <c r="N285" s="77"/>
      <c r="O285" s="84" t="s">
        <v>500</v>
      </c>
      <c r="P285" s="86">
        <v>44021.199178240742</v>
      </c>
      <c r="Q285" s="84" t="s">
        <v>649</v>
      </c>
      <c r="R285" s="84"/>
      <c r="S285" s="84"/>
      <c r="T285" s="84"/>
      <c r="U285" s="84"/>
      <c r="V285" s="87" t="str">
        <f>HYPERLINK("http://pbs.twimg.com/profile_images/1138281193714044929/gYfMYMEB_normal.jpg")</f>
        <v>http://pbs.twimg.com/profile_images/1138281193714044929/gYfMYMEB_normal.jpg</v>
      </c>
      <c r="W285" s="86">
        <v>44021.199178240742</v>
      </c>
      <c r="X285" s="90">
        <v>44021</v>
      </c>
      <c r="Y285" s="92" t="s">
        <v>1225</v>
      </c>
      <c r="Z285" s="87" t="str">
        <f>HYPERLINK("https://twitter.com/waiwai5321/status/1281087389125849088")</f>
        <v>https://twitter.com/waiwai5321/status/1281087389125849088</v>
      </c>
      <c r="AA285" s="84"/>
      <c r="AB285" s="84"/>
      <c r="AC285" s="92" t="s">
        <v>1646</v>
      </c>
      <c r="AD285" s="84"/>
      <c r="AE285" s="84" t="b">
        <v>0</v>
      </c>
      <c r="AF285" s="84">
        <v>0</v>
      </c>
      <c r="AG285" s="92" t="s">
        <v>1724</v>
      </c>
      <c r="AH285" s="84" t="b">
        <v>0</v>
      </c>
      <c r="AI285" s="84" t="s">
        <v>1750</v>
      </c>
      <c r="AJ285" s="84"/>
      <c r="AK285" s="92" t="s">
        <v>1724</v>
      </c>
      <c r="AL285" s="84" t="b">
        <v>0</v>
      </c>
      <c r="AM285" s="84">
        <v>2</v>
      </c>
      <c r="AN285" s="92" t="s">
        <v>1645</v>
      </c>
      <c r="AO285" s="84" t="s">
        <v>1763</v>
      </c>
      <c r="AP285" s="84" t="b">
        <v>0</v>
      </c>
      <c r="AQ285" s="92" t="s">
        <v>1645</v>
      </c>
      <c r="AR285" s="84" t="s">
        <v>179</v>
      </c>
      <c r="AS285" s="84">
        <v>0</v>
      </c>
      <c r="AT285" s="84">
        <v>0</v>
      </c>
      <c r="AU285" s="84"/>
      <c r="AV285" s="84"/>
      <c r="AW285" s="84"/>
      <c r="AX285" s="84"/>
      <c r="AY285" s="84"/>
      <c r="AZ285" s="84"/>
      <c r="BA285" s="84"/>
      <c r="BB285" s="84"/>
    </row>
    <row r="286" spans="1:54" x14ac:dyDescent="0.2">
      <c r="A286" s="69" t="s">
        <v>408</v>
      </c>
      <c r="B286" s="69" t="s">
        <v>408</v>
      </c>
      <c r="C286" s="70"/>
      <c r="D286" s="71"/>
      <c r="E286" s="72"/>
      <c r="F286" s="73"/>
      <c r="G286" s="70"/>
      <c r="H286" s="74"/>
      <c r="I286" s="75"/>
      <c r="J286" s="75"/>
      <c r="K286" s="36"/>
      <c r="L286" s="82"/>
      <c r="M286" s="82"/>
      <c r="N286" s="77"/>
      <c r="O286" s="84" t="s">
        <v>179</v>
      </c>
      <c r="P286" s="86">
        <v>44021.195381944446</v>
      </c>
      <c r="Q286" s="84" t="s">
        <v>697</v>
      </c>
      <c r="R286" s="84"/>
      <c r="S286" s="84"/>
      <c r="T286" s="84" t="s">
        <v>832</v>
      </c>
      <c r="U286" s="84"/>
      <c r="V286" s="87" t="str">
        <f>HYPERLINK("http://pbs.twimg.com/profile_images/1262859678121263104/DecomVhL_normal.jpg")</f>
        <v>http://pbs.twimg.com/profile_images/1262859678121263104/DecomVhL_normal.jpg</v>
      </c>
      <c r="W286" s="86">
        <v>44021.195381944446</v>
      </c>
      <c r="X286" s="90">
        <v>44021</v>
      </c>
      <c r="Y286" s="92" t="s">
        <v>1154</v>
      </c>
      <c r="Z286" s="87" t="str">
        <f>HYPERLINK("https://twitter.com/hirocos2/status/1281086013264162817")</f>
        <v>https://twitter.com/hirocos2/status/1281086013264162817</v>
      </c>
      <c r="AA286" s="84"/>
      <c r="AB286" s="84"/>
      <c r="AC286" s="92" t="s">
        <v>1575</v>
      </c>
      <c r="AD286" s="84"/>
      <c r="AE286" s="84" t="b">
        <v>0</v>
      </c>
      <c r="AF286" s="84">
        <v>17</v>
      </c>
      <c r="AG286" s="92" t="s">
        <v>1724</v>
      </c>
      <c r="AH286" s="84" t="b">
        <v>0</v>
      </c>
      <c r="AI286" s="84" t="s">
        <v>1750</v>
      </c>
      <c r="AJ286" s="84"/>
      <c r="AK286" s="92" t="s">
        <v>1724</v>
      </c>
      <c r="AL286" s="84" t="b">
        <v>0</v>
      </c>
      <c r="AM286" s="84">
        <v>0</v>
      </c>
      <c r="AN286" s="92" t="s">
        <v>1724</v>
      </c>
      <c r="AO286" s="84" t="s">
        <v>1763</v>
      </c>
      <c r="AP286" s="84" t="b">
        <v>0</v>
      </c>
      <c r="AQ286" s="92" t="s">
        <v>1575</v>
      </c>
      <c r="AR286" s="84" t="s">
        <v>179</v>
      </c>
      <c r="AS286" s="84">
        <v>0</v>
      </c>
      <c r="AT286" s="84">
        <v>0</v>
      </c>
      <c r="AU286" s="84"/>
      <c r="AV286" s="84"/>
      <c r="AW286" s="84"/>
      <c r="AX286" s="84"/>
      <c r="AY286" s="84"/>
      <c r="AZ286" s="84"/>
      <c r="BA286" s="84"/>
      <c r="BB286" s="84"/>
    </row>
    <row r="287" spans="1:54" x14ac:dyDescent="0.2">
      <c r="A287" s="69" t="s">
        <v>300</v>
      </c>
      <c r="B287" s="69" t="s">
        <v>300</v>
      </c>
      <c r="C287" s="70"/>
      <c r="D287" s="71"/>
      <c r="E287" s="72"/>
      <c r="F287" s="73"/>
      <c r="G287" s="70"/>
      <c r="H287" s="74"/>
      <c r="I287" s="75"/>
      <c r="J287" s="75"/>
      <c r="K287" s="36"/>
      <c r="L287" s="82"/>
      <c r="M287" s="82"/>
      <c r="N287" s="77"/>
      <c r="O287" s="84" t="s">
        <v>179</v>
      </c>
      <c r="P287" s="86">
        <v>44021.167638888888</v>
      </c>
      <c r="Q287" s="84" t="s">
        <v>582</v>
      </c>
      <c r="R287" s="84"/>
      <c r="S287" s="84"/>
      <c r="T287" s="84" t="s">
        <v>781</v>
      </c>
      <c r="U287" s="87" t="str">
        <f>HYPERLINK("https://pbs.twimg.com/media/EcdLyczU0AA758P.jpg")</f>
        <v>https://pbs.twimg.com/media/EcdLyczU0AA758P.jpg</v>
      </c>
      <c r="V287" s="87" t="str">
        <f>HYPERLINK("https://pbs.twimg.com/media/EcdLyczU0AA758P.jpg")</f>
        <v>https://pbs.twimg.com/media/EcdLyczU0AA758P.jpg</v>
      </c>
      <c r="W287" s="86">
        <v>44021.167638888888</v>
      </c>
      <c r="X287" s="90">
        <v>44021</v>
      </c>
      <c r="Y287" s="92" t="s">
        <v>966</v>
      </c>
      <c r="Z287" s="87" t="str">
        <f>HYPERLINK("https://twitter.com/navalin1/status/1281075956862513152")</f>
        <v>https://twitter.com/navalin1/status/1281075956862513152</v>
      </c>
      <c r="AA287" s="84"/>
      <c r="AB287" s="84"/>
      <c r="AC287" s="92" t="s">
        <v>1385</v>
      </c>
      <c r="AD287" s="84"/>
      <c r="AE287" s="84" t="b">
        <v>0</v>
      </c>
      <c r="AF287" s="84">
        <v>0</v>
      </c>
      <c r="AG287" s="92" t="s">
        <v>1724</v>
      </c>
      <c r="AH287" s="84" t="b">
        <v>0</v>
      </c>
      <c r="AI287" s="84" t="s">
        <v>1750</v>
      </c>
      <c r="AJ287" s="84"/>
      <c r="AK287" s="92" t="s">
        <v>1724</v>
      </c>
      <c r="AL287" s="84" t="b">
        <v>0</v>
      </c>
      <c r="AM287" s="84">
        <v>0</v>
      </c>
      <c r="AN287" s="92" t="s">
        <v>1724</v>
      </c>
      <c r="AO287" s="84" t="s">
        <v>1764</v>
      </c>
      <c r="AP287" s="84" t="b">
        <v>0</v>
      </c>
      <c r="AQ287" s="92" t="s">
        <v>1385</v>
      </c>
      <c r="AR287" s="84" t="s">
        <v>179</v>
      </c>
      <c r="AS287" s="84">
        <v>0</v>
      </c>
      <c r="AT287" s="84">
        <v>0</v>
      </c>
      <c r="AU287" s="84"/>
      <c r="AV287" s="84"/>
      <c r="AW287" s="84"/>
      <c r="AX287" s="84"/>
      <c r="AY287" s="84"/>
      <c r="AZ287" s="84"/>
      <c r="BA287" s="84"/>
      <c r="BB287" s="84"/>
    </row>
    <row r="288" spans="1:54" x14ac:dyDescent="0.2">
      <c r="A288" s="69" t="s">
        <v>344</v>
      </c>
      <c r="B288" s="69" t="s">
        <v>344</v>
      </c>
      <c r="C288" s="70"/>
      <c r="D288" s="71"/>
      <c r="E288" s="72"/>
      <c r="F288" s="73"/>
      <c r="G288" s="70"/>
      <c r="H288" s="74"/>
      <c r="I288" s="75"/>
      <c r="J288" s="75"/>
      <c r="K288" s="36"/>
      <c r="L288" s="82"/>
      <c r="M288" s="82"/>
      <c r="N288" s="77"/>
      <c r="O288" s="84" t="s">
        <v>179</v>
      </c>
      <c r="P288" s="86">
        <v>44021.130543981482</v>
      </c>
      <c r="Q288" s="84" t="s">
        <v>648</v>
      </c>
      <c r="R288" s="84"/>
      <c r="S288" s="84"/>
      <c r="T288" s="84" t="s">
        <v>780</v>
      </c>
      <c r="U288" s="84"/>
      <c r="V288" s="87" t="str">
        <f>HYPERLINK("http://pbs.twimg.com/profile_images/1260107849088163841/KSu60n_S_normal.jpg")</f>
        <v>http://pbs.twimg.com/profile_images/1260107849088163841/KSu60n_S_normal.jpg</v>
      </c>
      <c r="W288" s="86">
        <v>44021.130543981482</v>
      </c>
      <c r="X288" s="90">
        <v>44021</v>
      </c>
      <c r="Y288" s="92" t="s">
        <v>1045</v>
      </c>
      <c r="Z288" s="87" t="str">
        <f>HYPERLINK("https://twitter.com/radiusbit/status/1281062517481984000")</f>
        <v>https://twitter.com/radiusbit/status/1281062517481984000</v>
      </c>
      <c r="AA288" s="84"/>
      <c r="AB288" s="84"/>
      <c r="AC288" s="92" t="s">
        <v>1464</v>
      </c>
      <c r="AD288" s="84"/>
      <c r="AE288" s="84" t="b">
        <v>0</v>
      </c>
      <c r="AF288" s="84">
        <v>0</v>
      </c>
      <c r="AG288" s="92" t="s">
        <v>1724</v>
      </c>
      <c r="AH288" s="84" t="b">
        <v>0</v>
      </c>
      <c r="AI288" s="84" t="s">
        <v>1750</v>
      </c>
      <c r="AJ288" s="84"/>
      <c r="AK288" s="92" t="s">
        <v>1724</v>
      </c>
      <c r="AL288" s="84" t="b">
        <v>0</v>
      </c>
      <c r="AM288" s="84">
        <v>0</v>
      </c>
      <c r="AN288" s="92" t="s">
        <v>1724</v>
      </c>
      <c r="AO288" s="84" t="s">
        <v>1763</v>
      </c>
      <c r="AP288" s="84" t="b">
        <v>0</v>
      </c>
      <c r="AQ288" s="92" t="s">
        <v>1464</v>
      </c>
      <c r="AR288" s="84" t="s">
        <v>179</v>
      </c>
      <c r="AS288" s="84">
        <v>0</v>
      </c>
      <c r="AT288" s="84">
        <v>0</v>
      </c>
      <c r="AU288" s="84"/>
      <c r="AV288" s="84"/>
      <c r="AW288" s="84"/>
      <c r="AX288" s="84"/>
      <c r="AY288" s="84"/>
      <c r="AZ288" s="84"/>
      <c r="BA288" s="84"/>
      <c r="BB288" s="84"/>
    </row>
    <row r="289" spans="1:54" x14ac:dyDescent="0.2">
      <c r="A289" s="69" t="s">
        <v>299</v>
      </c>
      <c r="B289" s="69" t="s">
        <v>298</v>
      </c>
      <c r="C289" s="70"/>
      <c r="D289" s="71"/>
      <c r="E289" s="72"/>
      <c r="F289" s="73"/>
      <c r="G289" s="70"/>
      <c r="H289" s="74"/>
      <c r="I289" s="75"/>
      <c r="J289" s="75"/>
      <c r="K289" s="36"/>
      <c r="L289" s="82"/>
      <c r="M289" s="82"/>
      <c r="N289" s="77"/>
      <c r="O289" s="84" t="s">
        <v>500</v>
      </c>
      <c r="P289" s="86">
        <v>44021.103379629632</v>
      </c>
      <c r="Q289" s="84" t="s">
        <v>570</v>
      </c>
      <c r="R289" s="87" t="str">
        <f>HYPERLINK("https://medium.com/enlightened-today-japan/wayfarerについてのamaを開催-fe5df17864ed")</f>
        <v>https://medium.com/enlightened-today-japan/wayfarerについてのamaを開催-fe5df17864ed</v>
      </c>
      <c r="S289" s="84" t="s">
        <v>769</v>
      </c>
      <c r="T289" s="84" t="s">
        <v>807</v>
      </c>
      <c r="U289" s="84"/>
      <c r="V289" s="87" t="str">
        <f>HYPERLINK("http://pbs.twimg.com/profile_images/646680431186710528/ByAc8sq4_normal.jpg")</f>
        <v>http://pbs.twimg.com/profile_images/646680431186710528/ByAc8sq4_normal.jpg</v>
      </c>
      <c r="W289" s="86">
        <v>44021.103379629632</v>
      </c>
      <c r="X289" s="90">
        <v>44021</v>
      </c>
      <c r="Y289" s="92" t="s">
        <v>965</v>
      </c>
      <c r="Z289" s="87" t="str">
        <f>HYPERLINK("https://twitter.com/ruindig/status/1281052672997462016")</f>
        <v>https://twitter.com/ruindig/status/1281052672997462016</v>
      </c>
      <c r="AA289" s="84"/>
      <c r="AB289" s="84"/>
      <c r="AC289" s="92" t="s">
        <v>1384</v>
      </c>
      <c r="AD289" s="84"/>
      <c r="AE289" s="84" t="b">
        <v>0</v>
      </c>
      <c r="AF289" s="84">
        <v>0</v>
      </c>
      <c r="AG289" s="92" t="s">
        <v>1724</v>
      </c>
      <c r="AH289" s="84" t="b">
        <v>0</v>
      </c>
      <c r="AI289" s="84" t="s">
        <v>1750</v>
      </c>
      <c r="AJ289" s="84"/>
      <c r="AK289" s="92" t="s">
        <v>1724</v>
      </c>
      <c r="AL289" s="84" t="b">
        <v>0</v>
      </c>
      <c r="AM289" s="84">
        <v>4</v>
      </c>
      <c r="AN289" s="92" t="s">
        <v>1383</v>
      </c>
      <c r="AO289" s="84" t="s">
        <v>1764</v>
      </c>
      <c r="AP289" s="84" t="b">
        <v>0</v>
      </c>
      <c r="AQ289" s="92" t="s">
        <v>1383</v>
      </c>
      <c r="AR289" s="84" t="s">
        <v>179</v>
      </c>
      <c r="AS289" s="84">
        <v>0</v>
      </c>
      <c r="AT289" s="84">
        <v>0</v>
      </c>
      <c r="AU289" s="84"/>
      <c r="AV289" s="84"/>
      <c r="AW289" s="84"/>
      <c r="AX289" s="84"/>
      <c r="AY289" s="84"/>
      <c r="AZ289" s="84"/>
      <c r="BA289" s="84"/>
      <c r="BB289" s="84"/>
    </row>
    <row r="290" spans="1:54" x14ac:dyDescent="0.2">
      <c r="A290" s="69" t="s">
        <v>345</v>
      </c>
      <c r="B290" s="69" t="s">
        <v>440</v>
      </c>
      <c r="C290" s="70"/>
      <c r="D290" s="71"/>
      <c r="E290" s="72"/>
      <c r="F290" s="73"/>
      <c r="G290" s="70"/>
      <c r="H290" s="74"/>
      <c r="I290" s="75"/>
      <c r="J290" s="75"/>
      <c r="K290" s="36"/>
      <c r="L290" s="82"/>
      <c r="M290" s="82"/>
      <c r="N290" s="77"/>
      <c r="O290" s="84" t="s">
        <v>500</v>
      </c>
      <c r="P290" s="86">
        <v>44021.08625</v>
      </c>
      <c r="Q290" s="84" t="s">
        <v>649</v>
      </c>
      <c r="R290" s="84"/>
      <c r="S290" s="84"/>
      <c r="T290" s="84"/>
      <c r="U290" s="84"/>
      <c r="V290" s="87" t="str">
        <f>HYPERLINK("http://pbs.twimg.com/profile_images/1189002588705869825/PIDXX_3M_normal.png")</f>
        <v>http://pbs.twimg.com/profile_images/1189002588705869825/PIDXX_3M_normal.png</v>
      </c>
      <c r="W290" s="86">
        <v>44021.08625</v>
      </c>
      <c r="X290" s="90">
        <v>44021</v>
      </c>
      <c r="Y290" s="92" t="s">
        <v>1047</v>
      </c>
      <c r="Z290" s="87" t="str">
        <f>HYPERLINK("https://twitter.com/gorotsukineko/status/1281046464202829824")</f>
        <v>https://twitter.com/gorotsukineko/status/1281046464202829824</v>
      </c>
      <c r="AA290" s="84"/>
      <c r="AB290" s="84"/>
      <c r="AC290" s="92" t="s">
        <v>1466</v>
      </c>
      <c r="AD290" s="84"/>
      <c r="AE290" s="84" t="b">
        <v>0</v>
      </c>
      <c r="AF290" s="84">
        <v>0</v>
      </c>
      <c r="AG290" s="92" t="s">
        <v>1724</v>
      </c>
      <c r="AH290" s="84" t="b">
        <v>0</v>
      </c>
      <c r="AI290" s="84" t="s">
        <v>1750</v>
      </c>
      <c r="AJ290" s="84"/>
      <c r="AK290" s="92" t="s">
        <v>1724</v>
      </c>
      <c r="AL290" s="84" t="b">
        <v>0</v>
      </c>
      <c r="AM290" s="84">
        <v>2</v>
      </c>
      <c r="AN290" s="92" t="s">
        <v>1645</v>
      </c>
      <c r="AO290" s="84" t="s">
        <v>1769</v>
      </c>
      <c r="AP290" s="84" t="b">
        <v>0</v>
      </c>
      <c r="AQ290" s="92" t="s">
        <v>1645</v>
      </c>
      <c r="AR290" s="84" t="s">
        <v>179</v>
      </c>
      <c r="AS290" s="84">
        <v>0</v>
      </c>
      <c r="AT290" s="84">
        <v>0</v>
      </c>
      <c r="AU290" s="84"/>
      <c r="AV290" s="84"/>
      <c r="AW290" s="84"/>
      <c r="AX290" s="84"/>
      <c r="AY290" s="84"/>
      <c r="AZ290" s="84"/>
      <c r="BA290" s="84"/>
      <c r="BB290" s="84"/>
    </row>
    <row r="291" spans="1:54" x14ac:dyDescent="0.2">
      <c r="A291" s="69" t="s">
        <v>440</v>
      </c>
      <c r="B291" s="69" t="s">
        <v>440</v>
      </c>
      <c r="C291" s="70"/>
      <c r="D291" s="71"/>
      <c r="E291" s="72"/>
      <c r="F291" s="73"/>
      <c r="G291" s="70"/>
      <c r="H291" s="74"/>
      <c r="I291" s="75"/>
      <c r="J291" s="75"/>
      <c r="K291" s="36"/>
      <c r="L291" s="82"/>
      <c r="M291" s="82"/>
      <c r="N291" s="77"/>
      <c r="O291" s="84" t="s">
        <v>179</v>
      </c>
      <c r="P291" s="86">
        <v>44021.084814814814</v>
      </c>
      <c r="Q291" s="84" t="s">
        <v>649</v>
      </c>
      <c r="R291" s="87" t="str">
        <f>HYPERLINK("http://www.gk-p.jp/mhcard/?pref=01#mhcard_result")</f>
        <v>http://www.gk-p.jp/mhcard/?pref=01#mhcard_result</v>
      </c>
      <c r="S291" s="84" t="s">
        <v>777</v>
      </c>
      <c r="T291" s="84" t="s">
        <v>781</v>
      </c>
      <c r="U291" s="84"/>
      <c r="V291" s="87" t="str">
        <f>HYPERLINK("http://pbs.twimg.com/profile_images/1143672262723112960/kfhDI7Yu_normal.jpg")</f>
        <v>http://pbs.twimg.com/profile_images/1143672262723112960/kfhDI7Yu_normal.jpg</v>
      </c>
      <c r="W291" s="86">
        <v>44021.084814814814</v>
      </c>
      <c r="X291" s="90">
        <v>44021</v>
      </c>
      <c r="Y291" s="92" t="s">
        <v>1224</v>
      </c>
      <c r="Z291" s="87" t="str">
        <f>HYPERLINK("https://twitter.com/enl_tp235/status/1281045943115149312")</f>
        <v>https://twitter.com/enl_tp235/status/1281045943115149312</v>
      </c>
      <c r="AA291" s="84"/>
      <c r="AB291" s="84"/>
      <c r="AC291" s="92" t="s">
        <v>1645</v>
      </c>
      <c r="AD291" s="84"/>
      <c r="AE291" s="84" t="b">
        <v>0</v>
      </c>
      <c r="AF291" s="84">
        <v>3</v>
      </c>
      <c r="AG291" s="92" t="s">
        <v>1724</v>
      </c>
      <c r="AH291" s="84" t="b">
        <v>0</v>
      </c>
      <c r="AI291" s="84" t="s">
        <v>1750</v>
      </c>
      <c r="AJ291" s="84"/>
      <c r="AK291" s="92" t="s">
        <v>1724</v>
      </c>
      <c r="AL291" s="84" t="b">
        <v>0</v>
      </c>
      <c r="AM291" s="84">
        <v>2</v>
      </c>
      <c r="AN291" s="92" t="s">
        <v>1724</v>
      </c>
      <c r="AO291" s="84" t="s">
        <v>1764</v>
      </c>
      <c r="AP291" s="84" t="b">
        <v>0</v>
      </c>
      <c r="AQ291" s="92" t="s">
        <v>1645</v>
      </c>
      <c r="AR291" s="84" t="s">
        <v>179</v>
      </c>
      <c r="AS291" s="84">
        <v>0</v>
      </c>
      <c r="AT291" s="84">
        <v>0</v>
      </c>
      <c r="AU291" s="84"/>
      <c r="AV291" s="84"/>
      <c r="AW291" s="84"/>
      <c r="AX291" s="84"/>
      <c r="AY291" s="84"/>
      <c r="AZ291" s="84"/>
      <c r="BA291" s="84"/>
      <c r="BB291" s="84"/>
    </row>
    <row r="292" spans="1:54" x14ac:dyDescent="0.2">
      <c r="A292" s="69" t="s">
        <v>297</v>
      </c>
      <c r="B292" s="69" t="s">
        <v>297</v>
      </c>
      <c r="C292" s="70"/>
      <c r="D292" s="71"/>
      <c r="E292" s="72"/>
      <c r="F292" s="73"/>
      <c r="G292" s="70"/>
      <c r="H292" s="74"/>
      <c r="I292" s="75"/>
      <c r="J292" s="75"/>
      <c r="K292" s="36"/>
      <c r="L292" s="82"/>
      <c r="M292" s="82"/>
      <c r="N292" s="77"/>
      <c r="O292" s="84" t="s">
        <v>179</v>
      </c>
      <c r="P292" s="86">
        <v>44021.052291666667</v>
      </c>
      <c r="Q292" s="84" t="s">
        <v>581</v>
      </c>
      <c r="R292" s="84"/>
      <c r="S292" s="84"/>
      <c r="T292" s="84" t="s">
        <v>781</v>
      </c>
      <c r="U292" s="84"/>
      <c r="V292" s="87" t="str">
        <f>HYPERLINK("http://pbs.twimg.com/profile_images/1232899444460277760/21Yx0kkR_normal.jpg")</f>
        <v>http://pbs.twimg.com/profile_images/1232899444460277760/21Yx0kkR_normal.jpg</v>
      </c>
      <c r="W292" s="86">
        <v>44021.052291666667</v>
      </c>
      <c r="X292" s="90">
        <v>44021</v>
      </c>
      <c r="Y292" s="92" t="s">
        <v>963</v>
      </c>
      <c r="Z292" s="87" t="str">
        <f>HYPERLINK("https://twitter.com/menbei_oishii/status/1281034159150915585")</f>
        <v>https://twitter.com/menbei_oishii/status/1281034159150915585</v>
      </c>
      <c r="AA292" s="84"/>
      <c r="AB292" s="84"/>
      <c r="AC292" s="92" t="s">
        <v>1382</v>
      </c>
      <c r="AD292" s="92" t="s">
        <v>1711</v>
      </c>
      <c r="AE292" s="84" t="b">
        <v>0</v>
      </c>
      <c r="AF292" s="84">
        <v>0</v>
      </c>
      <c r="AG292" s="92" t="s">
        <v>1734</v>
      </c>
      <c r="AH292" s="84" t="b">
        <v>0</v>
      </c>
      <c r="AI292" s="84" t="s">
        <v>1750</v>
      </c>
      <c r="AJ292" s="84"/>
      <c r="AK292" s="92" t="s">
        <v>1724</v>
      </c>
      <c r="AL292" s="84" t="b">
        <v>0</v>
      </c>
      <c r="AM292" s="84">
        <v>0</v>
      </c>
      <c r="AN292" s="92" t="s">
        <v>1724</v>
      </c>
      <c r="AO292" s="84" t="s">
        <v>1766</v>
      </c>
      <c r="AP292" s="84" t="b">
        <v>0</v>
      </c>
      <c r="AQ292" s="92" t="s">
        <v>1711</v>
      </c>
      <c r="AR292" s="84" t="s">
        <v>179</v>
      </c>
      <c r="AS292" s="84">
        <v>0</v>
      </c>
      <c r="AT292" s="84">
        <v>0</v>
      </c>
      <c r="AU292" s="84"/>
      <c r="AV292" s="84"/>
      <c r="AW292" s="84"/>
      <c r="AX292" s="84"/>
      <c r="AY292" s="84"/>
      <c r="AZ292" s="84"/>
      <c r="BA292" s="84"/>
      <c r="BB292" s="84"/>
    </row>
    <row r="293" spans="1:54" x14ac:dyDescent="0.2">
      <c r="A293" s="69" t="s">
        <v>296</v>
      </c>
      <c r="B293" s="69" t="s">
        <v>296</v>
      </c>
      <c r="C293" s="70"/>
      <c r="D293" s="71"/>
      <c r="E293" s="72"/>
      <c r="F293" s="73"/>
      <c r="G293" s="70"/>
      <c r="H293" s="74"/>
      <c r="I293" s="75"/>
      <c r="J293" s="75"/>
      <c r="K293" s="36"/>
      <c r="L293" s="82"/>
      <c r="M293" s="82"/>
      <c r="N293" s="77"/>
      <c r="O293" s="84" t="s">
        <v>179</v>
      </c>
      <c r="P293" s="86">
        <v>44021.05060185185</v>
      </c>
      <c r="Q293" s="84" t="s">
        <v>580</v>
      </c>
      <c r="R293" s="84"/>
      <c r="S293" s="84"/>
      <c r="T293" s="84" t="s">
        <v>812</v>
      </c>
      <c r="U293" s="87" t="str">
        <f>HYPERLINK("https://pbs.twimg.com/media/EcclNpcU8AIuKrx.jpg")</f>
        <v>https://pbs.twimg.com/media/EcclNpcU8AIuKrx.jpg</v>
      </c>
      <c r="V293" s="87" t="str">
        <f>HYPERLINK("https://pbs.twimg.com/media/EcclNpcU8AIuKrx.jpg")</f>
        <v>https://pbs.twimg.com/media/EcclNpcU8AIuKrx.jpg</v>
      </c>
      <c r="W293" s="86">
        <v>44021.05060185185</v>
      </c>
      <c r="X293" s="90">
        <v>44021</v>
      </c>
      <c r="Y293" s="92" t="s">
        <v>962</v>
      </c>
      <c r="Z293" s="87" t="str">
        <f>HYPERLINK("https://twitter.com/lssenterprise/status/1281033544123334656")</f>
        <v>https://twitter.com/lssenterprise/status/1281033544123334656</v>
      </c>
      <c r="AA293" s="84"/>
      <c r="AB293" s="84"/>
      <c r="AC293" s="92" t="s">
        <v>1381</v>
      </c>
      <c r="AD293" s="84"/>
      <c r="AE293" s="84" t="b">
        <v>0</v>
      </c>
      <c r="AF293" s="84">
        <v>0</v>
      </c>
      <c r="AG293" s="92" t="s">
        <v>1724</v>
      </c>
      <c r="AH293" s="84" t="b">
        <v>0</v>
      </c>
      <c r="AI293" s="84" t="s">
        <v>1750</v>
      </c>
      <c r="AJ293" s="84"/>
      <c r="AK293" s="92" t="s">
        <v>1724</v>
      </c>
      <c r="AL293" s="84" t="b">
        <v>0</v>
      </c>
      <c r="AM293" s="84">
        <v>0</v>
      </c>
      <c r="AN293" s="92" t="s">
        <v>1724</v>
      </c>
      <c r="AO293" s="84" t="s">
        <v>1763</v>
      </c>
      <c r="AP293" s="84" t="b">
        <v>0</v>
      </c>
      <c r="AQ293" s="92" t="s">
        <v>1381</v>
      </c>
      <c r="AR293" s="84" t="s">
        <v>179</v>
      </c>
      <c r="AS293" s="84">
        <v>0</v>
      </c>
      <c r="AT293" s="84">
        <v>0</v>
      </c>
      <c r="AU293" s="84"/>
      <c r="AV293" s="84"/>
      <c r="AW293" s="84"/>
      <c r="AX293" s="84"/>
      <c r="AY293" s="84"/>
      <c r="AZ293" s="84"/>
      <c r="BA293" s="84"/>
      <c r="BB293" s="84"/>
    </row>
    <row r="294" spans="1:54" x14ac:dyDescent="0.2">
      <c r="A294" s="69" t="s">
        <v>316</v>
      </c>
      <c r="B294" s="69" t="s">
        <v>316</v>
      </c>
      <c r="C294" s="70"/>
      <c r="D294" s="71"/>
      <c r="E294" s="72"/>
      <c r="F294" s="73"/>
      <c r="G294" s="70"/>
      <c r="H294" s="74"/>
      <c r="I294" s="75"/>
      <c r="J294" s="75"/>
      <c r="K294" s="36"/>
      <c r="L294" s="82"/>
      <c r="M294" s="82"/>
      <c r="N294" s="77"/>
      <c r="O294" s="84" t="s">
        <v>179</v>
      </c>
      <c r="P294" s="86">
        <v>44020.985486111109</v>
      </c>
      <c r="Q294" s="84" t="s">
        <v>613</v>
      </c>
      <c r="R294" s="87" t="str">
        <f>HYPERLINK("https://www.ebay.com/itm/Ray-Ban-Denim-Wayfarer-Sunglasses-RB2140-Blue-/174246174362")</f>
        <v>https://www.ebay.com/itm/Ray-Ban-Denim-Wayfarer-Sunglasses-RB2140-Blue-/174246174362</v>
      </c>
      <c r="S294" s="84" t="s">
        <v>773</v>
      </c>
      <c r="T294" s="84" t="s">
        <v>823</v>
      </c>
      <c r="U294" s="87" t="str">
        <f>HYPERLINK("https://pbs.twimg.com/media/EccPwqnXQAEafOE.jpg")</f>
        <v>https://pbs.twimg.com/media/EccPwqnXQAEafOE.jpg</v>
      </c>
      <c r="V294" s="87" t="str">
        <f>HYPERLINK("https://pbs.twimg.com/media/EccPwqnXQAEafOE.jpg")</f>
        <v>https://pbs.twimg.com/media/EccPwqnXQAEafOE.jpg</v>
      </c>
      <c r="W294" s="86">
        <v>44020.985486111109</v>
      </c>
      <c r="X294" s="90">
        <v>44020</v>
      </c>
      <c r="Y294" s="92" t="s">
        <v>1000</v>
      </c>
      <c r="Z294" s="87" t="str">
        <f>HYPERLINK("https://twitter.com/esquireattire/status/1281009949150261248")</f>
        <v>https://twitter.com/esquireattire/status/1281009949150261248</v>
      </c>
      <c r="AA294" s="84"/>
      <c r="AB294" s="84"/>
      <c r="AC294" s="92" t="s">
        <v>1419</v>
      </c>
      <c r="AD294" s="84"/>
      <c r="AE294" s="84" t="b">
        <v>0</v>
      </c>
      <c r="AF294" s="84">
        <v>0</v>
      </c>
      <c r="AG294" s="92" t="s">
        <v>1724</v>
      </c>
      <c r="AH294" s="84" t="b">
        <v>0</v>
      </c>
      <c r="AI294" s="84" t="s">
        <v>1751</v>
      </c>
      <c r="AJ294" s="84"/>
      <c r="AK294" s="92" t="s">
        <v>1724</v>
      </c>
      <c r="AL294" s="84" t="b">
        <v>0</v>
      </c>
      <c r="AM294" s="84">
        <v>0</v>
      </c>
      <c r="AN294" s="92" t="s">
        <v>1724</v>
      </c>
      <c r="AO294" s="84" t="s">
        <v>1780</v>
      </c>
      <c r="AP294" s="84" t="b">
        <v>0</v>
      </c>
      <c r="AQ294" s="92" t="s">
        <v>1419</v>
      </c>
      <c r="AR294" s="84" t="s">
        <v>179</v>
      </c>
      <c r="AS294" s="84">
        <v>0</v>
      </c>
      <c r="AT294" s="84">
        <v>0</v>
      </c>
      <c r="AU294" s="84"/>
      <c r="AV294" s="84"/>
      <c r="AW294" s="84"/>
      <c r="AX294" s="84"/>
      <c r="AY294" s="84"/>
      <c r="AZ294" s="84"/>
      <c r="BA294" s="84"/>
      <c r="BB294" s="84"/>
    </row>
    <row r="295" spans="1:54" x14ac:dyDescent="0.2">
      <c r="A295" s="69" t="s">
        <v>314</v>
      </c>
      <c r="B295" s="69" t="s">
        <v>314</v>
      </c>
      <c r="C295" s="70"/>
      <c r="D295" s="71"/>
      <c r="E295" s="72"/>
      <c r="F295" s="73"/>
      <c r="G295" s="70"/>
      <c r="H295" s="74"/>
      <c r="I295" s="75"/>
      <c r="J295" s="75"/>
      <c r="K295" s="36"/>
      <c r="L295" s="82"/>
      <c r="M295" s="82"/>
      <c r="N295" s="77"/>
      <c r="O295" s="84" t="s">
        <v>179</v>
      </c>
      <c r="P295" s="86">
        <v>44020.949861111112</v>
      </c>
      <c r="Q295" s="84" t="s">
        <v>603</v>
      </c>
      <c r="R295" s="84"/>
      <c r="S295" s="84"/>
      <c r="T295" s="84" t="s">
        <v>822</v>
      </c>
      <c r="U295" s="87" t="str">
        <f>HYPERLINK("https://pbs.twimg.com/media/EccD_dmUEAEM8oO.jpg")</f>
        <v>https://pbs.twimg.com/media/EccD_dmUEAEM8oO.jpg</v>
      </c>
      <c r="V295" s="87" t="str">
        <f>HYPERLINK("https://pbs.twimg.com/media/EccD_dmUEAEM8oO.jpg")</f>
        <v>https://pbs.twimg.com/media/EccD_dmUEAEM8oO.jpg</v>
      </c>
      <c r="W295" s="86">
        <v>44020.949861111112</v>
      </c>
      <c r="X295" s="90">
        <v>44020</v>
      </c>
      <c r="Y295" s="92" t="s">
        <v>990</v>
      </c>
      <c r="Z295" s="87" t="str">
        <f>HYPERLINK("https://twitter.com/coolportraitgil/status/1280997040181280768")</f>
        <v>https://twitter.com/coolportraitgil/status/1280997040181280768</v>
      </c>
      <c r="AA295" s="84"/>
      <c r="AB295" s="84"/>
      <c r="AC295" s="92" t="s">
        <v>1409</v>
      </c>
      <c r="AD295" s="84"/>
      <c r="AE295" s="84" t="b">
        <v>0</v>
      </c>
      <c r="AF295" s="84">
        <v>0</v>
      </c>
      <c r="AG295" s="92" t="s">
        <v>1724</v>
      </c>
      <c r="AH295" s="84" t="b">
        <v>0</v>
      </c>
      <c r="AI295" s="84" t="s">
        <v>1750</v>
      </c>
      <c r="AJ295" s="84"/>
      <c r="AK295" s="92" t="s">
        <v>1724</v>
      </c>
      <c r="AL295" s="84" t="b">
        <v>0</v>
      </c>
      <c r="AM295" s="84">
        <v>0</v>
      </c>
      <c r="AN295" s="92" t="s">
        <v>1724</v>
      </c>
      <c r="AO295" s="84" t="s">
        <v>1763</v>
      </c>
      <c r="AP295" s="84" t="b">
        <v>0</v>
      </c>
      <c r="AQ295" s="92" t="s">
        <v>1409</v>
      </c>
      <c r="AR295" s="84" t="s">
        <v>179</v>
      </c>
      <c r="AS295" s="84">
        <v>0</v>
      </c>
      <c r="AT295" s="84">
        <v>0</v>
      </c>
      <c r="AU295" s="84"/>
      <c r="AV295" s="84"/>
      <c r="AW295" s="84"/>
      <c r="AX295" s="84"/>
      <c r="AY295" s="84"/>
      <c r="AZ295" s="84"/>
      <c r="BA295" s="84"/>
      <c r="BB295" s="84"/>
    </row>
    <row r="296" spans="1:54" x14ac:dyDescent="0.2">
      <c r="A296" s="69" t="s">
        <v>295</v>
      </c>
      <c r="B296" s="69" t="s">
        <v>295</v>
      </c>
      <c r="C296" s="70"/>
      <c r="D296" s="71"/>
      <c r="E296" s="72"/>
      <c r="F296" s="73"/>
      <c r="G296" s="70"/>
      <c r="H296" s="74"/>
      <c r="I296" s="75"/>
      <c r="J296" s="75"/>
      <c r="K296" s="36"/>
      <c r="L296" s="82"/>
      <c r="M296" s="82"/>
      <c r="N296" s="77"/>
      <c r="O296" s="84" t="s">
        <v>179</v>
      </c>
      <c r="P296" s="86">
        <v>44020.949687499997</v>
      </c>
      <c r="Q296" s="84" t="s">
        <v>579</v>
      </c>
      <c r="R296" s="84"/>
      <c r="S296" s="84"/>
      <c r="T296" s="84" t="s">
        <v>811</v>
      </c>
      <c r="U296" s="87" t="str">
        <f>HYPERLINK("https://pbs.twimg.com/media/EccD8xzUwAAwArT.jpg")</f>
        <v>https://pbs.twimg.com/media/EccD8xzUwAAwArT.jpg</v>
      </c>
      <c r="V296" s="87" t="str">
        <f>HYPERLINK("https://pbs.twimg.com/media/EccD8xzUwAAwArT.jpg")</f>
        <v>https://pbs.twimg.com/media/EccD8xzUwAAwArT.jpg</v>
      </c>
      <c r="W296" s="86">
        <v>44020.949687499997</v>
      </c>
      <c r="X296" s="90">
        <v>44020</v>
      </c>
      <c r="Y296" s="92" t="s">
        <v>961</v>
      </c>
      <c r="Z296" s="87" t="str">
        <f>HYPERLINK("https://twitter.com/tajurina/status/1280996976549457921")</f>
        <v>https://twitter.com/tajurina/status/1280996976549457921</v>
      </c>
      <c r="AA296" s="84"/>
      <c r="AB296" s="84"/>
      <c r="AC296" s="92" t="s">
        <v>1380</v>
      </c>
      <c r="AD296" s="84"/>
      <c r="AE296" s="84" t="b">
        <v>0</v>
      </c>
      <c r="AF296" s="84">
        <v>14</v>
      </c>
      <c r="AG296" s="92" t="s">
        <v>1724</v>
      </c>
      <c r="AH296" s="84" t="b">
        <v>0</v>
      </c>
      <c r="AI296" s="84" t="s">
        <v>1750</v>
      </c>
      <c r="AJ296" s="84"/>
      <c r="AK296" s="92" t="s">
        <v>1724</v>
      </c>
      <c r="AL296" s="84" t="b">
        <v>0</v>
      </c>
      <c r="AM296" s="84">
        <v>0</v>
      </c>
      <c r="AN296" s="92" t="s">
        <v>1724</v>
      </c>
      <c r="AO296" s="84" t="s">
        <v>1763</v>
      </c>
      <c r="AP296" s="84" t="b">
        <v>0</v>
      </c>
      <c r="AQ296" s="92" t="s">
        <v>1380</v>
      </c>
      <c r="AR296" s="84" t="s">
        <v>179</v>
      </c>
      <c r="AS296" s="84">
        <v>0</v>
      </c>
      <c r="AT296" s="84">
        <v>0</v>
      </c>
      <c r="AU296" s="84"/>
      <c r="AV296" s="84"/>
      <c r="AW296" s="84"/>
      <c r="AX296" s="84"/>
      <c r="AY296" s="84"/>
      <c r="AZ296" s="84"/>
      <c r="BA296" s="84"/>
      <c r="BB296" s="84"/>
    </row>
    <row r="297" spans="1:54" x14ac:dyDescent="0.2">
      <c r="A297" s="69" t="s">
        <v>314</v>
      </c>
      <c r="B297" s="69" t="s">
        <v>314</v>
      </c>
      <c r="C297" s="70"/>
      <c r="D297" s="71"/>
      <c r="E297" s="72"/>
      <c r="F297" s="73"/>
      <c r="G297" s="70"/>
      <c r="H297" s="74"/>
      <c r="I297" s="75"/>
      <c r="J297" s="75"/>
      <c r="K297" s="36"/>
      <c r="L297" s="82"/>
      <c r="M297" s="82"/>
      <c r="N297" s="77"/>
      <c r="O297" s="84" t="s">
        <v>179</v>
      </c>
      <c r="P297" s="86">
        <v>44020.948946759258</v>
      </c>
      <c r="Q297" s="84" t="s">
        <v>602</v>
      </c>
      <c r="R297" s="84"/>
      <c r="S297" s="84"/>
      <c r="T297" s="84" t="s">
        <v>819</v>
      </c>
      <c r="U297" s="87" t="str">
        <f>HYPERLINK("https://pbs.twimg.com/media/EccDtc8UYAAITZK.jpg")</f>
        <v>https://pbs.twimg.com/media/EccDtc8UYAAITZK.jpg</v>
      </c>
      <c r="V297" s="87" t="str">
        <f>HYPERLINK("https://pbs.twimg.com/media/EccDtc8UYAAITZK.jpg")</f>
        <v>https://pbs.twimg.com/media/EccDtc8UYAAITZK.jpg</v>
      </c>
      <c r="W297" s="86">
        <v>44020.948946759258</v>
      </c>
      <c r="X297" s="90">
        <v>44020</v>
      </c>
      <c r="Y297" s="92" t="s">
        <v>989</v>
      </c>
      <c r="Z297" s="87" t="str">
        <f>HYPERLINK("https://twitter.com/coolportraitgil/status/1280996706952212480")</f>
        <v>https://twitter.com/coolportraitgil/status/1280996706952212480</v>
      </c>
      <c r="AA297" s="84"/>
      <c r="AB297" s="84"/>
      <c r="AC297" s="92" t="s">
        <v>1408</v>
      </c>
      <c r="AD297" s="84"/>
      <c r="AE297" s="84" t="b">
        <v>0</v>
      </c>
      <c r="AF297" s="84">
        <v>0</v>
      </c>
      <c r="AG297" s="92" t="s">
        <v>1724</v>
      </c>
      <c r="AH297" s="84" t="b">
        <v>0</v>
      </c>
      <c r="AI297" s="84" t="s">
        <v>1750</v>
      </c>
      <c r="AJ297" s="84"/>
      <c r="AK297" s="92" t="s">
        <v>1724</v>
      </c>
      <c r="AL297" s="84" t="b">
        <v>0</v>
      </c>
      <c r="AM297" s="84">
        <v>0</v>
      </c>
      <c r="AN297" s="92" t="s">
        <v>1724</v>
      </c>
      <c r="AO297" s="84" t="s">
        <v>1763</v>
      </c>
      <c r="AP297" s="84" t="b">
        <v>0</v>
      </c>
      <c r="AQ297" s="92" t="s">
        <v>1408</v>
      </c>
      <c r="AR297" s="84" t="s">
        <v>179</v>
      </c>
      <c r="AS297" s="84">
        <v>0</v>
      </c>
      <c r="AT297" s="84">
        <v>0</v>
      </c>
      <c r="AU297" s="84"/>
      <c r="AV297" s="84"/>
      <c r="AW297" s="84"/>
      <c r="AX297" s="84"/>
      <c r="AY297" s="84"/>
      <c r="AZ297" s="84"/>
      <c r="BA297" s="84"/>
      <c r="BB297" s="84"/>
    </row>
    <row r="298" spans="1:54" x14ac:dyDescent="0.2">
      <c r="A298" s="69" t="s">
        <v>314</v>
      </c>
      <c r="B298" s="69" t="s">
        <v>314</v>
      </c>
      <c r="C298" s="70"/>
      <c r="D298" s="71"/>
      <c r="E298" s="72"/>
      <c r="F298" s="73"/>
      <c r="G298" s="70"/>
      <c r="H298" s="74"/>
      <c r="I298" s="75"/>
      <c r="J298" s="75"/>
      <c r="K298" s="36"/>
      <c r="L298" s="82"/>
      <c r="M298" s="82"/>
      <c r="N298" s="77"/>
      <c r="O298" s="84" t="s">
        <v>179</v>
      </c>
      <c r="P298" s="86">
        <v>44020.919907407406</v>
      </c>
      <c r="Q298" s="84" t="s">
        <v>601</v>
      </c>
      <c r="R298" s="84"/>
      <c r="S298" s="84"/>
      <c r="T298" s="84" t="s">
        <v>819</v>
      </c>
      <c r="U298" s="87" t="str">
        <f>HYPERLINK("https://pbs.twimg.com/media/Ecb6JIVUcAA3D7r.jpg")</f>
        <v>https://pbs.twimg.com/media/Ecb6JIVUcAA3D7r.jpg</v>
      </c>
      <c r="V298" s="87" t="str">
        <f>HYPERLINK("https://pbs.twimg.com/media/Ecb6JIVUcAA3D7r.jpg")</f>
        <v>https://pbs.twimg.com/media/Ecb6JIVUcAA3D7r.jpg</v>
      </c>
      <c r="W298" s="86">
        <v>44020.919907407406</v>
      </c>
      <c r="X298" s="90">
        <v>44020</v>
      </c>
      <c r="Y298" s="92" t="s">
        <v>988</v>
      </c>
      <c r="Z298" s="87" t="str">
        <f>HYPERLINK("https://twitter.com/coolportraitgil/status/1280986183426686976")</f>
        <v>https://twitter.com/coolportraitgil/status/1280986183426686976</v>
      </c>
      <c r="AA298" s="84"/>
      <c r="AB298" s="84"/>
      <c r="AC298" s="92" t="s">
        <v>1407</v>
      </c>
      <c r="AD298" s="84"/>
      <c r="AE298" s="84" t="b">
        <v>0</v>
      </c>
      <c r="AF298" s="84">
        <v>3</v>
      </c>
      <c r="AG298" s="92" t="s">
        <v>1724</v>
      </c>
      <c r="AH298" s="84" t="b">
        <v>0</v>
      </c>
      <c r="AI298" s="84" t="s">
        <v>1750</v>
      </c>
      <c r="AJ298" s="84"/>
      <c r="AK298" s="92" t="s">
        <v>1724</v>
      </c>
      <c r="AL298" s="84" t="b">
        <v>0</v>
      </c>
      <c r="AM298" s="84">
        <v>0</v>
      </c>
      <c r="AN298" s="92" t="s">
        <v>1724</v>
      </c>
      <c r="AO298" s="84" t="s">
        <v>1763</v>
      </c>
      <c r="AP298" s="84" t="b">
        <v>0</v>
      </c>
      <c r="AQ298" s="92" t="s">
        <v>1407</v>
      </c>
      <c r="AR298" s="84" t="s">
        <v>179</v>
      </c>
      <c r="AS298" s="84">
        <v>0</v>
      </c>
      <c r="AT298" s="84">
        <v>0</v>
      </c>
      <c r="AU298" s="84"/>
      <c r="AV298" s="84"/>
      <c r="AW298" s="84"/>
      <c r="AX298" s="84"/>
      <c r="AY298" s="84"/>
      <c r="AZ298" s="84"/>
      <c r="BA298" s="84"/>
      <c r="BB298" s="84"/>
    </row>
    <row r="299" spans="1:54" x14ac:dyDescent="0.2">
      <c r="A299" s="69" t="s">
        <v>409</v>
      </c>
      <c r="B299" s="69" t="s">
        <v>409</v>
      </c>
      <c r="C299" s="70"/>
      <c r="D299" s="71"/>
      <c r="E299" s="72"/>
      <c r="F299" s="73"/>
      <c r="G299" s="70"/>
      <c r="H299" s="74"/>
      <c r="I299" s="75"/>
      <c r="J299" s="75"/>
      <c r="K299" s="36"/>
      <c r="L299" s="82"/>
      <c r="M299" s="82"/>
      <c r="N299" s="77"/>
      <c r="O299" s="84" t="s">
        <v>179</v>
      </c>
      <c r="P299" s="86">
        <v>44020.90520833333</v>
      </c>
      <c r="Q299" s="84" t="s">
        <v>702</v>
      </c>
      <c r="R299" s="84"/>
      <c r="S299" s="84"/>
      <c r="T299" s="84" t="s">
        <v>781</v>
      </c>
      <c r="U299" s="84"/>
      <c r="V299" s="87" t="str">
        <f>HYPERLINK("http://pbs.twimg.com/profile_images/1236668333157519361/R8t7DbMO_normal.jpg")</f>
        <v>http://pbs.twimg.com/profile_images/1236668333157519361/R8t7DbMO_normal.jpg</v>
      </c>
      <c r="W299" s="86">
        <v>44020.90520833333</v>
      </c>
      <c r="X299" s="90">
        <v>44020</v>
      </c>
      <c r="Y299" s="92" t="s">
        <v>1169</v>
      </c>
      <c r="Z299" s="87" t="str">
        <f>HYPERLINK("https://twitter.com/sinxsan/status/1280980858892021760")</f>
        <v>https://twitter.com/sinxsan/status/1280980858892021760</v>
      </c>
      <c r="AA299" s="84"/>
      <c r="AB299" s="84"/>
      <c r="AC299" s="92" t="s">
        <v>1590</v>
      </c>
      <c r="AD299" s="92" t="s">
        <v>1588</v>
      </c>
      <c r="AE299" s="84" t="b">
        <v>0</v>
      </c>
      <c r="AF299" s="84">
        <v>4</v>
      </c>
      <c r="AG299" s="92" t="s">
        <v>1740</v>
      </c>
      <c r="AH299" s="84" t="b">
        <v>0</v>
      </c>
      <c r="AI299" s="84" t="s">
        <v>1750</v>
      </c>
      <c r="AJ299" s="84"/>
      <c r="AK299" s="92" t="s">
        <v>1724</v>
      </c>
      <c r="AL299" s="84" t="b">
        <v>0</v>
      </c>
      <c r="AM299" s="84">
        <v>0</v>
      </c>
      <c r="AN299" s="92" t="s">
        <v>1724</v>
      </c>
      <c r="AO299" s="84" t="s">
        <v>1763</v>
      </c>
      <c r="AP299" s="84" t="b">
        <v>0</v>
      </c>
      <c r="AQ299" s="92" t="s">
        <v>1588</v>
      </c>
      <c r="AR299" s="84" t="s">
        <v>179</v>
      </c>
      <c r="AS299" s="84">
        <v>0</v>
      </c>
      <c r="AT299" s="84">
        <v>0</v>
      </c>
      <c r="AU299" s="84"/>
      <c r="AV299" s="84"/>
      <c r="AW299" s="84"/>
      <c r="AX299" s="84"/>
      <c r="AY299" s="84"/>
      <c r="AZ299" s="84"/>
      <c r="BA299" s="84"/>
      <c r="BB299" s="84"/>
    </row>
    <row r="300" spans="1:54" x14ac:dyDescent="0.2">
      <c r="A300" s="69" t="s">
        <v>294</v>
      </c>
      <c r="B300" s="69" t="s">
        <v>294</v>
      </c>
      <c r="C300" s="70"/>
      <c r="D300" s="71"/>
      <c r="E300" s="72"/>
      <c r="F300" s="73"/>
      <c r="G300" s="70"/>
      <c r="H300" s="74"/>
      <c r="I300" s="75"/>
      <c r="J300" s="75"/>
      <c r="K300" s="36"/>
      <c r="L300" s="82"/>
      <c r="M300" s="82"/>
      <c r="N300" s="77"/>
      <c r="O300" s="84" t="s">
        <v>179</v>
      </c>
      <c r="P300" s="86">
        <v>44020.895949074074</v>
      </c>
      <c r="Q300" s="84" t="s">
        <v>577</v>
      </c>
      <c r="R300" s="84"/>
      <c r="S300" s="84"/>
      <c r="T300" s="84" t="s">
        <v>809</v>
      </c>
      <c r="U300" s="84"/>
      <c r="V300" s="87" t="str">
        <f>HYPERLINK("http://pbs.twimg.com/profile_images/1278173876522872838/fHEuMNpR_normal.jpg")</f>
        <v>http://pbs.twimg.com/profile_images/1278173876522872838/fHEuMNpR_normal.jpg</v>
      </c>
      <c r="W300" s="86">
        <v>44020.895949074074</v>
      </c>
      <c r="X300" s="90">
        <v>44020</v>
      </c>
      <c r="Y300" s="92" t="s">
        <v>959</v>
      </c>
      <c r="Z300" s="87" t="str">
        <f>HYPERLINK("https://twitter.com/nharl_the_mage/status/1280977501380988928")</f>
        <v>https://twitter.com/nharl_the_mage/status/1280977501380988928</v>
      </c>
      <c r="AA300" s="84"/>
      <c r="AB300" s="84"/>
      <c r="AC300" s="92" t="s">
        <v>1378</v>
      </c>
      <c r="AD300" s="84"/>
      <c r="AE300" s="84" t="b">
        <v>0</v>
      </c>
      <c r="AF300" s="84">
        <v>0</v>
      </c>
      <c r="AG300" s="92" t="s">
        <v>1724</v>
      </c>
      <c r="AH300" s="84" t="b">
        <v>0</v>
      </c>
      <c r="AI300" s="84" t="s">
        <v>1750</v>
      </c>
      <c r="AJ300" s="84"/>
      <c r="AK300" s="92" t="s">
        <v>1724</v>
      </c>
      <c r="AL300" s="84" t="b">
        <v>0</v>
      </c>
      <c r="AM300" s="84">
        <v>0</v>
      </c>
      <c r="AN300" s="92" t="s">
        <v>1724</v>
      </c>
      <c r="AO300" s="84" t="s">
        <v>1766</v>
      </c>
      <c r="AP300" s="84" t="b">
        <v>0</v>
      </c>
      <c r="AQ300" s="92" t="s">
        <v>1378</v>
      </c>
      <c r="AR300" s="84" t="s">
        <v>179</v>
      </c>
      <c r="AS300" s="84">
        <v>0</v>
      </c>
      <c r="AT300" s="84">
        <v>0</v>
      </c>
      <c r="AU300" s="84"/>
      <c r="AV300" s="84"/>
      <c r="AW300" s="84"/>
      <c r="AX300" s="84"/>
      <c r="AY300" s="84"/>
      <c r="AZ300" s="84"/>
      <c r="BA300" s="84"/>
      <c r="BB300" s="84"/>
    </row>
    <row r="301" spans="1:54" x14ac:dyDescent="0.2">
      <c r="A301" s="69" t="s">
        <v>293</v>
      </c>
      <c r="B301" s="69" t="s">
        <v>293</v>
      </c>
      <c r="C301" s="70"/>
      <c r="D301" s="71"/>
      <c r="E301" s="72"/>
      <c r="F301" s="73"/>
      <c r="G301" s="70"/>
      <c r="H301" s="74"/>
      <c r="I301" s="75"/>
      <c r="J301" s="75"/>
      <c r="K301" s="36"/>
      <c r="L301" s="82"/>
      <c r="M301" s="82"/>
      <c r="N301" s="77"/>
      <c r="O301" s="84" t="s">
        <v>179</v>
      </c>
      <c r="P301" s="86">
        <v>44020.861030092594</v>
      </c>
      <c r="Q301" s="84" t="s">
        <v>576</v>
      </c>
      <c r="R301" s="84"/>
      <c r="S301" s="84"/>
      <c r="T301" s="84" t="s">
        <v>781</v>
      </c>
      <c r="U301" s="84"/>
      <c r="V301" s="87" t="str">
        <f>HYPERLINK("http://pbs.twimg.com/profile_images/1269268783765446656/EIlM1HcE_normal.jpg")</f>
        <v>http://pbs.twimg.com/profile_images/1269268783765446656/EIlM1HcE_normal.jpg</v>
      </c>
      <c r="W301" s="86">
        <v>44020.861030092594</v>
      </c>
      <c r="X301" s="90">
        <v>44020</v>
      </c>
      <c r="Y301" s="92" t="s">
        <v>958</v>
      </c>
      <c r="Z301" s="87" t="str">
        <f>HYPERLINK("https://twitter.com/ddsk_ckrn/status/1280964847195222016")</f>
        <v>https://twitter.com/ddsk_ckrn/status/1280964847195222016</v>
      </c>
      <c r="AA301" s="84"/>
      <c r="AB301" s="84"/>
      <c r="AC301" s="92" t="s">
        <v>1377</v>
      </c>
      <c r="AD301" s="84"/>
      <c r="AE301" s="84" t="b">
        <v>0</v>
      </c>
      <c r="AF301" s="84">
        <v>0</v>
      </c>
      <c r="AG301" s="92" t="s">
        <v>1724</v>
      </c>
      <c r="AH301" s="84" t="b">
        <v>0</v>
      </c>
      <c r="AI301" s="84" t="s">
        <v>1750</v>
      </c>
      <c r="AJ301" s="84"/>
      <c r="AK301" s="92" t="s">
        <v>1724</v>
      </c>
      <c r="AL301" s="84" t="b">
        <v>0</v>
      </c>
      <c r="AM301" s="84">
        <v>0</v>
      </c>
      <c r="AN301" s="92" t="s">
        <v>1724</v>
      </c>
      <c r="AO301" s="84" t="s">
        <v>1776</v>
      </c>
      <c r="AP301" s="84" t="b">
        <v>0</v>
      </c>
      <c r="AQ301" s="92" t="s">
        <v>1377</v>
      </c>
      <c r="AR301" s="84" t="s">
        <v>179</v>
      </c>
      <c r="AS301" s="84">
        <v>0</v>
      </c>
      <c r="AT301" s="84">
        <v>0</v>
      </c>
      <c r="AU301" s="84"/>
      <c r="AV301" s="84"/>
      <c r="AW301" s="84"/>
      <c r="AX301" s="84"/>
      <c r="AY301" s="84"/>
      <c r="AZ301" s="84"/>
      <c r="BA301" s="84"/>
      <c r="BB301" s="84"/>
    </row>
    <row r="302" spans="1:54" x14ac:dyDescent="0.2">
      <c r="A302" s="69" t="s">
        <v>404</v>
      </c>
      <c r="B302" s="69" t="s">
        <v>404</v>
      </c>
      <c r="C302" s="70"/>
      <c r="D302" s="71"/>
      <c r="E302" s="72"/>
      <c r="F302" s="73"/>
      <c r="G302" s="70"/>
      <c r="H302" s="74"/>
      <c r="I302" s="75"/>
      <c r="J302" s="75"/>
      <c r="K302" s="36"/>
      <c r="L302" s="82"/>
      <c r="M302" s="82"/>
      <c r="N302" s="77"/>
      <c r="O302" s="84" t="s">
        <v>179</v>
      </c>
      <c r="P302" s="86">
        <v>44020.85224537037</v>
      </c>
      <c r="Q302" s="84" t="s">
        <v>689</v>
      </c>
      <c r="R302" s="87" t="str">
        <f>HYPERLINK("https://www.instagram.com/tv/CCYPWbcADZ7/?utm_source=ig_web_copy_link")</f>
        <v>https://www.instagram.com/tv/CCYPWbcADZ7/?utm_source=ig_web_copy_link</v>
      </c>
      <c r="S302" s="84" t="s">
        <v>759</v>
      </c>
      <c r="T302" s="84" t="s">
        <v>843</v>
      </c>
      <c r="U302" s="87" t="str">
        <f>HYPERLINK("https://pbs.twimg.com/media/EcbjosHXsAISpp8.jpg")</f>
        <v>https://pbs.twimg.com/media/EcbjosHXsAISpp8.jpg</v>
      </c>
      <c r="V302" s="87" t="str">
        <f>HYPERLINK("https://pbs.twimg.com/media/EcbjosHXsAISpp8.jpg")</f>
        <v>https://pbs.twimg.com/media/EcbjosHXsAISpp8.jpg</v>
      </c>
      <c r="W302" s="86">
        <v>44020.85224537037</v>
      </c>
      <c r="X302" s="90">
        <v>44020</v>
      </c>
      <c r="Y302" s="92" t="s">
        <v>1142</v>
      </c>
      <c r="Z302" s="87" t="str">
        <f>HYPERLINK("https://twitter.com/revelationskool/status/1280961664431644674")</f>
        <v>https://twitter.com/revelationskool/status/1280961664431644674</v>
      </c>
      <c r="AA302" s="84"/>
      <c r="AB302" s="84"/>
      <c r="AC302" s="92" t="s">
        <v>1563</v>
      </c>
      <c r="AD302" s="84"/>
      <c r="AE302" s="84" t="b">
        <v>0</v>
      </c>
      <c r="AF302" s="84">
        <v>1</v>
      </c>
      <c r="AG302" s="92" t="s">
        <v>1724</v>
      </c>
      <c r="AH302" s="84" t="b">
        <v>0</v>
      </c>
      <c r="AI302" s="84" t="s">
        <v>1751</v>
      </c>
      <c r="AJ302" s="84"/>
      <c r="AK302" s="92" t="s">
        <v>1724</v>
      </c>
      <c r="AL302" s="84" t="b">
        <v>0</v>
      </c>
      <c r="AM302" s="84">
        <v>1</v>
      </c>
      <c r="AN302" s="92" t="s">
        <v>1724</v>
      </c>
      <c r="AO302" s="84" t="s">
        <v>1766</v>
      </c>
      <c r="AP302" s="84" t="b">
        <v>0</v>
      </c>
      <c r="AQ302" s="92" t="s">
        <v>1563</v>
      </c>
      <c r="AR302" s="84" t="s">
        <v>179</v>
      </c>
      <c r="AS302" s="84">
        <v>0</v>
      </c>
      <c r="AT302" s="84">
        <v>0</v>
      </c>
      <c r="AU302" s="84"/>
      <c r="AV302" s="84"/>
      <c r="AW302" s="84"/>
      <c r="AX302" s="84"/>
      <c r="AY302" s="84"/>
      <c r="AZ302" s="84"/>
      <c r="BA302" s="84"/>
      <c r="BB302" s="84"/>
    </row>
    <row r="303" spans="1:54" x14ac:dyDescent="0.2">
      <c r="A303" s="69" t="s">
        <v>314</v>
      </c>
      <c r="B303" s="69" t="s">
        <v>314</v>
      </c>
      <c r="C303" s="70"/>
      <c r="D303" s="71"/>
      <c r="E303" s="72"/>
      <c r="F303" s="73"/>
      <c r="G303" s="70"/>
      <c r="H303" s="74"/>
      <c r="I303" s="75"/>
      <c r="J303" s="75"/>
      <c r="K303" s="36"/>
      <c r="L303" s="82"/>
      <c r="M303" s="82"/>
      <c r="N303" s="77"/>
      <c r="O303" s="84" t="s">
        <v>179</v>
      </c>
      <c r="P303" s="86">
        <v>44020.802511574075</v>
      </c>
      <c r="Q303" s="84" t="s">
        <v>600</v>
      </c>
      <c r="R303" s="84"/>
      <c r="S303" s="84"/>
      <c r="T303" s="84" t="s">
        <v>821</v>
      </c>
      <c r="U303" s="87" t="str">
        <f>HYPERLINK("https://pbs.twimg.com/media/EcbTczaUEAAqsk3.jpg")</f>
        <v>https://pbs.twimg.com/media/EcbTczaUEAAqsk3.jpg</v>
      </c>
      <c r="V303" s="87" t="str">
        <f>HYPERLINK("https://pbs.twimg.com/media/EcbTczaUEAAqsk3.jpg")</f>
        <v>https://pbs.twimg.com/media/EcbTczaUEAAqsk3.jpg</v>
      </c>
      <c r="W303" s="86">
        <v>44020.802511574075</v>
      </c>
      <c r="X303" s="90">
        <v>44020</v>
      </c>
      <c r="Y303" s="92" t="s">
        <v>987</v>
      </c>
      <c r="Z303" s="87" t="str">
        <f>HYPERLINK("https://twitter.com/coolportraitgil/status/1280943641591078912")</f>
        <v>https://twitter.com/coolportraitgil/status/1280943641591078912</v>
      </c>
      <c r="AA303" s="84"/>
      <c r="AB303" s="84"/>
      <c r="AC303" s="92" t="s">
        <v>1406</v>
      </c>
      <c r="AD303" s="84"/>
      <c r="AE303" s="84" t="b">
        <v>0</v>
      </c>
      <c r="AF303" s="84">
        <v>0</v>
      </c>
      <c r="AG303" s="92" t="s">
        <v>1724</v>
      </c>
      <c r="AH303" s="84" t="b">
        <v>0</v>
      </c>
      <c r="AI303" s="84" t="s">
        <v>1750</v>
      </c>
      <c r="AJ303" s="84"/>
      <c r="AK303" s="92" t="s">
        <v>1724</v>
      </c>
      <c r="AL303" s="84" t="b">
        <v>0</v>
      </c>
      <c r="AM303" s="84">
        <v>0</v>
      </c>
      <c r="AN303" s="92" t="s">
        <v>1724</v>
      </c>
      <c r="AO303" s="84" t="s">
        <v>1763</v>
      </c>
      <c r="AP303" s="84" t="b">
        <v>0</v>
      </c>
      <c r="AQ303" s="92" t="s">
        <v>1406</v>
      </c>
      <c r="AR303" s="84" t="s">
        <v>179</v>
      </c>
      <c r="AS303" s="84">
        <v>0</v>
      </c>
      <c r="AT303" s="84">
        <v>0</v>
      </c>
      <c r="AU303" s="84"/>
      <c r="AV303" s="84"/>
      <c r="AW303" s="84"/>
      <c r="AX303" s="84"/>
      <c r="AY303" s="84"/>
      <c r="AZ303" s="84"/>
      <c r="BA303" s="84"/>
      <c r="BB303" s="84"/>
    </row>
    <row r="304" spans="1:54" x14ac:dyDescent="0.2">
      <c r="A304" s="69" t="s">
        <v>292</v>
      </c>
      <c r="B304" s="69" t="s">
        <v>472</v>
      </c>
      <c r="C304" s="70"/>
      <c r="D304" s="71"/>
      <c r="E304" s="72"/>
      <c r="F304" s="73"/>
      <c r="G304" s="70"/>
      <c r="H304" s="74"/>
      <c r="I304" s="75"/>
      <c r="J304" s="75"/>
      <c r="K304" s="36"/>
      <c r="L304" s="82"/>
      <c r="M304" s="82"/>
      <c r="N304" s="77"/>
      <c r="O304" s="84" t="s">
        <v>501</v>
      </c>
      <c r="P304" s="86">
        <v>44020.688680555555</v>
      </c>
      <c r="Q304" s="84" t="s">
        <v>575</v>
      </c>
      <c r="R304" s="87" t="str">
        <f>HYPERLINK("https://untappd.com/user/Chris1305/checkin/915233283")</f>
        <v>https://untappd.com/user/Chris1305/checkin/915233283</v>
      </c>
      <c r="S304" s="84" t="s">
        <v>770</v>
      </c>
      <c r="T304" s="84" t="s">
        <v>781</v>
      </c>
      <c r="U304" s="84"/>
      <c r="V304" s="87" t="str">
        <f>HYPERLINK("http://pbs.twimg.com/profile_images/958024890044616705/IM-k4_hr_normal.jpg")</f>
        <v>http://pbs.twimg.com/profile_images/958024890044616705/IM-k4_hr_normal.jpg</v>
      </c>
      <c r="W304" s="86">
        <v>44020.688680555555</v>
      </c>
      <c r="X304" s="90">
        <v>44020</v>
      </c>
      <c r="Y304" s="92" t="s">
        <v>957</v>
      </c>
      <c r="Z304" s="87" t="str">
        <f>HYPERLINK("https://twitter.com/bchrisspinks/status/1280902391961923587")</f>
        <v>https://twitter.com/bchrisspinks/status/1280902391961923587</v>
      </c>
      <c r="AA304" s="84"/>
      <c r="AB304" s="84"/>
      <c r="AC304" s="92" t="s">
        <v>1376</v>
      </c>
      <c r="AD304" s="84"/>
      <c r="AE304" s="84" t="b">
        <v>0</v>
      </c>
      <c r="AF304" s="84">
        <v>0</v>
      </c>
      <c r="AG304" s="92" t="s">
        <v>1724</v>
      </c>
      <c r="AH304" s="84" t="b">
        <v>0</v>
      </c>
      <c r="AI304" s="84" t="s">
        <v>1751</v>
      </c>
      <c r="AJ304" s="84"/>
      <c r="AK304" s="92" t="s">
        <v>1724</v>
      </c>
      <c r="AL304" s="84" t="b">
        <v>0</v>
      </c>
      <c r="AM304" s="84">
        <v>0</v>
      </c>
      <c r="AN304" s="92" t="s">
        <v>1724</v>
      </c>
      <c r="AO304" s="84" t="s">
        <v>1763</v>
      </c>
      <c r="AP304" s="84" t="b">
        <v>0</v>
      </c>
      <c r="AQ304" s="92" t="s">
        <v>1376</v>
      </c>
      <c r="AR304" s="84" t="s">
        <v>179</v>
      </c>
      <c r="AS304" s="84">
        <v>0</v>
      </c>
      <c r="AT304" s="84">
        <v>0</v>
      </c>
      <c r="AU304" s="84"/>
      <c r="AV304" s="84"/>
      <c r="AW304" s="84"/>
      <c r="AX304" s="84"/>
      <c r="AY304" s="84"/>
      <c r="AZ304" s="84"/>
      <c r="BA304" s="84"/>
      <c r="BB304" s="84"/>
    </row>
    <row r="305" spans="1:54" x14ac:dyDescent="0.2">
      <c r="A305" s="69" t="s">
        <v>292</v>
      </c>
      <c r="B305" s="69" t="s">
        <v>473</v>
      </c>
      <c r="C305" s="70"/>
      <c r="D305" s="71"/>
      <c r="E305" s="72"/>
      <c r="F305" s="73"/>
      <c r="G305" s="70"/>
      <c r="H305" s="74"/>
      <c r="I305" s="75"/>
      <c r="J305" s="75"/>
      <c r="K305" s="36"/>
      <c r="L305" s="82"/>
      <c r="M305" s="82"/>
      <c r="N305" s="77"/>
      <c r="O305" s="84" t="s">
        <v>501</v>
      </c>
      <c r="P305" s="86">
        <v>44020.688680555555</v>
      </c>
      <c r="Q305" s="84" t="s">
        <v>575</v>
      </c>
      <c r="R305" s="87" t="str">
        <f>HYPERLINK("https://untappd.com/user/Chris1305/checkin/915233283")</f>
        <v>https://untappd.com/user/Chris1305/checkin/915233283</v>
      </c>
      <c r="S305" s="84" t="s">
        <v>770</v>
      </c>
      <c r="T305" s="84" t="s">
        <v>781</v>
      </c>
      <c r="U305" s="84"/>
      <c r="V305" s="87" t="str">
        <f>HYPERLINK("http://pbs.twimg.com/profile_images/958024890044616705/IM-k4_hr_normal.jpg")</f>
        <v>http://pbs.twimg.com/profile_images/958024890044616705/IM-k4_hr_normal.jpg</v>
      </c>
      <c r="W305" s="86">
        <v>44020.688680555555</v>
      </c>
      <c r="X305" s="90">
        <v>44020</v>
      </c>
      <c r="Y305" s="92" t="s">
        <v>957</v>
      </c>
      <c r="Z305" s="87" t="str">
        <f>HYPERLINK("https://twitter.com/bchrisspinks/status/1280902391961923587")</f>
        <v>https://twitter.com/bchrisspinks/status/1280902391961923587</v>
      </c>
      <c r="AA305" s="84"/>
      <c r="AB305" s="84"/>
      <c r="AC305" s="92" t="s">
        <v>1376</v>
      </c>
      <c r="AD305" s="84"/>
      <c r="AE305" s="84" t="b">
        <v>0</v>
      </c>
      <c r="AF305" s="84">
        <v>0</v>
      </c>
      <c r="AG305" s="92" t="s">
        <v>1724</v>
      </c>
      <c r="AH305" s="84" t="b">
        <v>0</v>
      </c>
      <c r="AI305" s="84" t="s">
        <v>1751</v>
      </c>
      <c r="AJ305" s="84"/>
      <c r="AK305" s="92" t="s">
        <v>1724</v>
      </c>
      <c r="AL305" s="84" t="b">
        <v>0</v>
      </c>
      <c r="AM305" s="84">
        <v>0</v>
      </c>
      <c r="AN305" s="92" t="s">
        <v>1724</v>
      </c>
      <c r="AO305" s="84" t="s">
        <v>1763</v>
      </c>
      <c r="AP305" s="84" t="b">
        <v>0</v>
      </c>
      <c r="AQ305" s="92" t="s">
        <v>1376</v>
      </c>
      <c r="AR305" s="84" t="s">
        <v>179</v>
      </c>
      <c r="AS305" s="84">
        <v>0</v>
      </c>
      <c r="AT305" s="84">
        <v>0</v>
      </c>
      <c r="AU305" s="84"/>
      <c r="AV305" s="84"/>
      <c r="AW305" s="84"/>
      <c r="AX305" s="84"/>
      <c r="AY305" s="84"/>
      <c r="AZ305" s="84"/>
      <c r="BA305" s="84"/>
      <c r="BB305" s="84"/>
    </row>
    <row r="306" spans="1:54" x14ac:dyDescent="0.2">
      <c r="A306" s="69" t="s">
        <v>291</v>
      </c>
      <c r="B306" s="69" t="s">
        <v>291</v>
      </c>
      <c r="C306" s="70"/>
      <c r="D306" s="71"/>
      <c r="E306" s="72"/>
      <c r="F306" s="73"/>
      <c r="G306" s="70"/>
      <c r="H306" s="74"/>
      <c r="I306" s="75"/>
      <c r="J306" s="75"/>
      <c r="K306" s="36"/>
      <c r="L306" s="82"/>
      <c r="M306" s="82"/>
      <c r="N306" s="77"/>
      <c r="O306" s="84" t="s">
        <v>179</v>
      </c>
      <c r="P306" s="86">
        <v>44020.661249999997</v>
      </c>
      <c r="Q306" s="84" t="s">
        <v>574</v>
      </c>
      <c r="R306" s="84"/>
      <c r="S306" s="84"/>
      <c r="T306" s="84" t="s">
        <v>808</v>
      </c>
      <c r="U306" s="87" t="str">
        <f>HYPERLINK("https://pbs.twimg.com/media/EcakxQ_WoAAwg70.jpg")</f>
        <v>https://pbs.twimg.com/media/EcakxQ_WoAAwg70.jpg</v>
      </c>
      <c r="V306" s="87" t="str">
        <f>HYPERLINK("https://pbs.twimg.com/media/EcakxQ_WoAAwg70.jpg")</f>
        <v>https://pbs.twimg.com/media/EcakxQ_WoAAwg70.jpg</v>
      </c>
      <c r="W306" s="86">
        <v>44020.661249999997</v>
      </c>
      <c r="X306" s="90">
        <v>44020</v>
      </c>
      <c r="Y306" s="92" t="s">
        <v>956</v>
      </c>
      <c r="Z306" s="87" t="str">
        <f>HYPERLINK("https://twitter.com/transwestttrv/status/1280892451767701504")</f>
        <v>https://twitter.com/transwestttrv/status/1280892451767701504</v>
      </c>
      <c r="AA306" s="84"/>
      <c r="AB306" s="84"/>
      <c r="AC306" s="92" t="s">
        <v>1375</v>
      </c>
      <c r="AD306" s="84"/>
      <c r="AE306" s="84" t="b">
        <v>0</v>
      </c>
      <c r="AF306" s="84">
        <v>3</v>
      </c>
      <c r="AG306" s="92" t="s">
        <v>1724</v>
      </c>
      <c r="AH306" s="84" t="b">
        <v>0</v>
      </c>
      <c r="AI306" s="84" t="s">
        <v>1751</v>
      </c>
      <c r="AJ306" s="84"/>
      <c r="AK306" s="92" t="s">
        <v>1724</v>
      </c>
      <c r="AL306" s="84" t="b">
        <v>0</v>
      </c>
      <c r="AM306" s="84">
        <v>0</v>
      </c>
      <c r="AN306" s="92" t="s">
        <v>1724</v>
      </c>
      <c r="AO306" s="84" t="s">
        <v>1766</v>
      </c>
      <c r="AP306" s="84" t="b">
        <v>0</v>
      </c>
      <c r="AQ306" s="92" t="s">
        <v>1375</v>
      </c>
      <c r="AR306" s="84" t="s">
        <v>179</v>
      </c>
      <c r="AS306" s="84">
        <v>0</v>
      </c>
      <c r="AT306" s="84">
        <v>0</v>
      </c>
      <c r="AU306" s="84"/>
      <c r="AV306" s="84"/>
      <c r="AW306" s="84"/>
      <c r="AX306" s="84"/>
      <c r="AY306" s="84"/>
      <c r="AZ306" s="84"/>
      <c r="BA306" s="84"/>
      <c r="BB306" s="84"/>
    </row>
    <row r="307" spans="1:54" x14ac:dyDescent="0.2">
      <c r="A307" s="69" t="s">
        <v>314</v>
      </c>
      <c r="B307" s="69" t="s">
        <v>314</v>
      </c>
      <c r="C307" s="70"/>
      <c r="D307" s="71"/>
      <c r="E307" s="72"/>
      <c r="F307" s="73"/>
      <c r="G307" s="70"/>
      <c r="H307" s="74"/>
      <c r="I307" s="75"/>
      <c r="J307" s="75"/>
      <c r="K307" s="36"/>
      <c r="L307" s="82"/>
      <c r="M307" s="82"/>
      <c r="N307" s="77"/>
      <c r="O307" s="84" t="s">
        <v>179</v>
      </c>
      <c r="P307" s="86">
        <v>44020.648530092592</v>
      </c>
      <c r="Q307" s="84" t="s">
        <v>599</v>
      </c>
      <c r="R307" s="84"/>
      <c r="S307" s="84"/>
      <c r="T307" s="84" t="s">
        <v>819</v>
      </c>
      <c r="U307" s="87" t="str">
        <f>HYPERLINK("https://pbs.twimg.com/media/Ecags1WUEAESPg9.jpg")</f>
        <v>https://pbs.twimg.com/media/Ecags1WUEAESPg9.jpg</v>
      </c>
      <c r="V307" s="87" t="str">
        <f>HYPERLINK("https://pbs.twimg.com/media/Ecags1WUEAESPg9.jpg")</f>
        <v>https://pbs.twimg.com/media/Ecags1WUEAESPg9.jpg</v>
      </c>
      <c r="W307" s="86">
        <v>44020.648530092592</v>
      </c>
      <c r="X307" s="90">
        <v>44020</v>
      </c>
      <c r="Y307" s="92" t="s">
        <v>986</v>
      </c>
      <c r="Z307" s="87" t="str">
        <f>HYPERLINK("https://twitter.com/coolportraitgil/status/1280887840209920000")</f>
        <v>https://twitter.com/coolportraitgil/status/1280887840209920000</v>
      </c>
      <c r="AA307" s="84"/>
      <c r="AB307" s="84"/>
      <c r="AC307" s="92" t="s">
        <v>1405</v>
      </c>
      <c r="AD307" s="84"/>
      <c r="AE307" s="84" t="b">
        <v>0</v>
      </c>
      <c r="AF307" s="84">
        <v>0</v>
      </c>
      <c r="AG307" s="92" t="s">
        <v>1724</v>
      </c>
      <c r="AH307" s="84" t="b">
        <v>0</v>
      </c>
      <c r="AI307" s="84" t="s">
        <v>1750</v>
      </c>
      <c r="AJ307" s="84"/>
      <c r="AK307" s="92" t="s">
        <v>1724</v>
      </c>
      <c r="AL307" s="84" t="b">
        <v>0</v>
      </c>
      <c r="AM307" s="84">
        <v>0</v>
      </c>
      <c r="AN307" s="92" t="s">
        <v>1724</v>
      </c>
      <c r="AO307" s="84" t="s">
        <v>1763</v>
      </c>
      <c r="AP307" s="84" t="b">
        <v>0</v>
      </c>
      <c r="AQ307" s="92" t="s">
        <v>1405</v>
      </c>
      <c r="AR307" s="84" t="s">
        <v>179</v>
      </c>
      <c r="AS307" s="84">
        <v>0</v>
      </c>
      <c r="AT307" s="84">
        <v>0</v>
      </c>
      <c r="AU307" s="84"/>
      <c r="AV307" s="84"/>
      <c r="AW307" s="84"/>
      <c r="AX307" s="84"/>
      <c r="AY307" s="84"/>
      <c r="AZ307" s="84"/>
      <c r="BA307" s="84"/>
      <c r="BB307" s="84"/>
    </row>
    <row r="308" spans="1:54" x14ac:dyDescent="0.2">
      <c r="A308" s="69" t="s">
        <v>344</v>
      </c>
      <c r="B308" s="69" t="s">
        <v>344</v>
      </c>
      <c r="C308" s="70"/>
      <c r="D308" s="71"/>
      <c r="E308" s="72"/>
      <c r="F308" s="73"/>
      <c r="G308" s="70"/>
      <c r="H308" s="74"/>
      <c r="I308" s="75"/>
      <c r="J308" s="75"/>
      <c r="K308" s="36"/>
      <c r="L308" s="82"/>
      <c r="M308" s="82"/>
      <c r="N308" s="77"/>
      <c r="O308" s="84" t="s">
        <v>179</v>
      </c>
      <c r="P308" s="86">
        <v>44020.60119212963</v>
      </c>
      <c r="Q308" s="84" t="s">
        <v>647</v>
      </c>
      <c r="R308" s="84"/>
      <c r="S308" s="84"/>
      <c r="T308" s="84" t="s">
        <v>781</v>
      </c>
      <c r="U308" s="87" t="str">
        <f>HYPERLINK("https://pbs.twimg.com/media/EcaRGPvU0AkDKT6.jpg")</f>
        <v>https://pbs.twimg.com/media/EcaRGPvU0AkDKT6.jpg</v>
      </c>
      <c r="V308" s="87" t="str">
        <f>HYPERLINK("https://pbs.twimg.com/media/EcaRGPvU0AkDKT6.jpg")</f>
        <v>https://pbs.twimg.com/media/EcaRGPvU0AkDKT6.jpg</v>
      </c>
      <c r="W308" s="86">
        <v>44020.60119212963</v>
      </c>
      <c r="X308" s="90">
        <v>44020</v>
      </c>
      <c r="Y308" s="92" t="s">
        <v>1044</v>
      </c>
      <c r="Z308" s="87" t="str">
        <f>HYPERLINK("https://twitter.com/radiusbit/status/1280870684365697026")</f>
        <v>https://twitter.com/radiusbit/status/1280870684365697026</v>
      </c>
      <c r="AA308" s="84"/>
      <c r="AB308" s="84"/>
      <c r="AC308" s="92" t="s">
        <v>1463</v>
      </c>
      <c r="AD308" s="84"/>
      <c r="AE308" s="84" t="b">
        <v>0</v>
      </c>
      <c r="AF308" s="84">
        <v>4</v>
      </c>
      <c r="AG308" s="92" t="s">
        <v>1724</v>
      </c>
      <c r="AH308" s="84" t="b">
        <v>0</v>
      </c>
      <c r="AI308" s="84" t="s">
        <v>1750</v>
      </c>
      <c r="AJ308" s="84"/>
      <c r="AK308" s="92" t="s">
        <v>1724</v>
      </c>
      <c r="AL308" s="84" t="b">
        <v>0</v>
      </c>
      <c r="AM308" s="84">
        <v>0</v>
      </c>
      <c r="AN308" s="92" t="s">
        <v>1724</v>
      </c>
      <c r="AO308" s="84" t="s">
        <v>1763</v>
      </c>
      <c r="AP308" s="84" t="b">
        <v>0</v>
      </c>
      <c r="AQ308" s="92" t="s">
        <v>1463</v>
      </c>
      <c r="AR308" s="84" t="s">
        <v>179</v>
      </c>
      <c r="AS308" s="84">
        <v>0</v>
      </c>
      <c r="AT308" s="84">
        <v>0</v>
      </c>
      <c r="AU308" s="84"/>
      <c r="AV308" s="84"/>
      <c r="AW308" s="84"/>
      <c r="AX308" s="84"/>
      <c r="AY308" s="84"/>
      <c r="AZ308" s="84"/>
      <c r="BA308" s="84"/>
      <c r="BB308" s="84"/>
    </row>
    <row r="309" spans="1:54" x14ac:dyDescent="0.2">
      <c r="A309" s="69" t="s">
        <v>290</v>
      </c>
      <c r="B309" s="69" t="s">
        <v>290</v>
      </c>
      <c r="C309" s="70"/>
      <c r="D309" s="71"/>
      <c r="E309" s="72"/>
      <c r="F309" s="73"/>
      <c r="G309" s="70"/>
      <c r="H309" s="74"/>
      <c r="I309" s="75"/>
      <c r="J309" s="75"/>
      <c r="K309" s="36"/>
      <c r="L309" s="82"/>
      <c r="M309" s="82"/>
      <c r="N309" s="77"/>
      <c r="O309" s="84" t="s">
        <v>179</v>
      </c>
      <c r="P309" s="86">
        <v>44020.594259259262</v>
      </c>
      <c r="Q309" s="84" t="s">
        <v>573</v>
      </c>
      <c r="R309" s="84"/>
      <c r="S309" s="84"/>
      <c r="T309" s="84" t="s">
        <v>781</v>
      </c>
      <c r="U309" s="84"/>
      <c r="V309" s="87" t="str">
        <f>HYPERLINK("http://pbs.twimg.com/profile_images/1144975718889095168/gWDB_zY-_normal.jpg")</f>
        <v>http://pbs.twimg.com/profile_images/1144975718889095168/gWDB_zY-_normal.jpg</v>
      </c>
      <c r="W309" s="86">
        <v>44020.594259259262</v>
      </c>
      <c r="X309" s="90">
        <v>44020</v>
      </c>
      <c r="Y309" s="92" t="s">
        <v>955</v>
      </c>
      <c r="Z309" s="87" t="str">
        <f>HYPERLINK("https://twitter.com/gnk_poke5/status/1280868172728426496")</f>
        <v>https://twitter.com/gnk_poke5/status/1280868172728426496</v>
      </c>
      <c r="AA309" s="84"/>
      <c r="AB309" s="84"/>
      <c r="AC309" s="92" t="s">
        <v>1374</v>
      </c>
      <c r="AD309" s="84"/>
      <c r="AE309" s="84" t="b">
        <v>0</v>
      </c>
      <c r="AF309" s="84">
        <v>1</v>
      </c>
      <c r="AG309" s="92" t="s">
        <v>1724</v>
      </c>
      <c r="AH309" s="84" t="b">
        <v>0</v>
      </c>
      <c r="AI309" s="84" t="s">
        <v>1750</v>
      </c>
      <c r="AJ309" s="84"/>
      <c r="AK309" s="92" t="s">
        <v>1724</v>
      </c>
      <c r="AL309" s="84" t="b">
        <v>0</v>
      </c>
      <c r="AM309" s="84">
        <v>0</v>
      </c>
      <c r="AN309" s="92" t="s">
        <v>1724</v>
      </c>
      <c r="AO309" s="84" t="s">
        <v>1775</v>
      </c>
      <c r="AP309" s="84" t="b">
        <v>0</v>
      </c>
      <c r="AQ309" s="92" t="s">
        <v>1374</v>
      </c>
      <c r="AR309" s="84" t="s">
        <v>179</v>
      </c>
      <c r="AS309" s="84">
        <v>0</v>
      </c>
      <c r="AT309" s="84">
        <v>0</v>
      </c>
      <c r="AU309" s="84"/>
      <c r="AV309" s="84"/>
      <c r="AW309" s="84"/>
      <c r="AX309" s="84"/>
      <c r="AY309" s="84"/>
      <c r="AZ309" s="84"/>
      <c r="BA309" s="84"/>
      <c r="BB309" s="84"/>
    </row>
    <row r="310" spans="1:54" x14ac:dyDescent="0.2">
      <c r="A310" s="69" t="s">
        <v>289</v>
      </c>
      <c r="B310" s="69" t="s">
        <v>289</v>
      </c>
      <c r="C310" s="70"/>
      <c r="D310" s="71"/>
      <c r="E310" s="72"/>
      <c r="F310" s="73"/>
      <c r="G310" s="70"/>
      <c r="H310" s="74"/>
      <c r="I310" s="75"/>
      <c r="J310" s="75"/>
      <c r="K310" s="36"/>
      <c r="L310" s="82"/>
      <c r="M310" s="82"/>
      <c r="N310" s="77"/>
      <c r="O310" s="84" t="s">
        <v>179</v>
      </c>
      <c r="P310" s="86">
        <v>44020.591932870368</v>
      </c>
      <c r="Q310" s="84" t="s">
        <v>571</v>
      </c>
      <c r="R310" s="84"/>
      <c r="S310" s="84"/>
      <c r="T310" s="84" t="s">
        <v>781</v>
      </c>
      <c r="U310" s="87" t="str">
        <f>HYPERLINK("https://pbs.twimg.com/media/EcaOClZVcAATbTo.jpg")</f>
        <v>https://pbs.twimg.com/media/EcaOClZVcAATbTo.jpg</v>
      </c>
      <c r="V310" s="87" t="str">
        <f>HYPERLINK("https://pbs.twimg.com/media/EcaOClZVcAATbTo.jpg")</f>
        <v>https://pbs.twimg.com/media/EcaOClZVcAATbTo.jpg</v>
      </c>
      <c r="W310" s="86">
        <v>44020.591932870368</v>
      </c>
      <c r="X310" s="90">
        <v>44020</v>
      </c>
      <c r="Y310" s="92" t="s">
        <v>953</v>
      </c>
      <c r="Z310" s="87" t="str">
        <f>HYPERLINK("https://twitter.com/rikumaru_suisan/status/1280867328578646016")</f>
        <v>https://twitter.com/rikumaru_suisan/status/1280867328578646016</v>
      </c>
      <c r="AA310" s="84"/>
      <c r="AB310" s="84"/>
      <c r="AC310" s="92" t="s">
        <v>1372</v>
      </c>
      <c r="AD310" s="84"/>
      <c r="AE310" s="84" t="b">
        <v>0</v>
      </c>
      <c r="AF310" s="84">
        <v>2</v>
      </c>
      <c r="AG310" s="92" t="s">
        <v>1724</v>
      </c>
      <c r="AH310" s="84" t="b">
        <v>0</v>
      </c>
      <c r="AI310" s="84" t="s">
        <v>1750</v>
      </c>
      <c r="AJ310" s="84"/>
      <c r="AK310" s="92" t="s">
        <v>1724</v>
      </c>
      <c r="AL310" s="84" t="b">
        <v>0</v>
      </c>
      <c r="AM310" s="84">
        <v>0</v>
      </c>
      <c r="AN310" s="92" t="s">
        <v>1724</v>
      </c>
      <c r="AO310" s="84" t="s">
        <v>1763</v>
      </c>
      <c r="AP310" s="84" t="b">
        <v>0</v>
      </c>
      <c r="AQ310" s="92" t="s">
        <v>1372</v>
      </c>
      <c r="AR310" s="84" t="s">
        <v>179</v>
      </c>
      <c r="AS310" s="84">
        <v>0</v>
      </c>
      <c r="AT310" s="84">
        <v>0</v>
      </c>
      <c r="AU310" s="84"/>
      <c r="AV310" s="84"/>
      <c r="AW310" s="84"/>
      <c r="AX310" s="84"/>
      <c r="AY310" s="84"/>
      <c r="AZ310" s="84"/>
      <c r="BA310" s="84"/>
      <c r="BB310" s="84"/>
    </row>
    <row r="311" spans="1:54" x14ac:dyDescent="0.2">
      <c r="A311" s="69" t="s">
        <v>319</v>
      </c>
      <c r="B311" s="69" t="s">
        <v>319</v>
      </c>
      <c r="C311" s="70"/>
      <c r="D311" s="71"/>
      <c r="E311" s="72"/>
      <c r="F311" s="73"/>
      <c r="G311" s="70"/>
      <c r="H311" s="74"/>
      <c r="I311" s="75"/>
      <c r="J311" s="75"/>
      <c r="K311" s="36"/>
      <c r="L311" s="82"/>
      <c r="M311" s="82"/>
      <c r="N311" s="77"/>
      <c r="O311" s="84" t="s">
        <v>179</v>
      </c>
      <c r="P311" s="86">
        <v>44020.544189814813</v>
      </c>
      <c r="Q311" s="84" t="s">
        <v>621</v>
      </c>
      <c r="R311" s="84"/>
      <c r="S311" s="84"/>
      <c r="T311" s="84" t="s">
        <v>781</v>
      </c>
      <c r="U311" s="87" t="str">
        <f>HYPERLINK("https://pbs.twimg.com/media/EcZ-Tv3VcAIfE3i.jpg")</f>
        <v>https://pbs.twimg.com/media/EcZ-Tv3VcAIfE3i.jpg</v>
      </c>
      <c r="V311" s="87" t="str">
        <f>HYPERLINK("https://pbs.twimg.com/media/EcZ-Tv3VcAIfE3i.jpg")</f>
        <v>https://pbs.twimg.com/media/EcZ-Tv3VcAIfE3i.jpg</v>
      </c>
      <c r="W311" s="86">
        <v>44020.544189814813</v>
      </c>
      <c r="X311" s="90">
        <v>44020</v>
      </c>
      <c r="Y311" s="92" t="s">
        <v>1009</v>
      </c>
      <c r="Z311" s="87" t="str">
        <f>HYPERLINK("https://twitter.com/jte3j/status/1280850028219658240")</f>
        <v>https://twitter.com/jte3j/status/1280850028219658240</v>
      </c>
      <c r="AA311" s="84"/>
      <c r="AB311" s="84"/>
      <c r="AC311" s="92" t="s">
        <v>1428</v>
      </c>
      <c r="AD311" s="84"/>
      <c r="AE311" s="84" t="b">
        <v>0</v>
      </c>
      <c r="AF311" s="84">
        <v>6</v>
      </c>
      <c r="AG311" s="92" t="s">
        <v>1724</v>
      </c>
      <c r="AH311" s="84" t="b">
        <v>0</v>
      </c>
      <c r="AI311" s="84" t="s">
        <v>1750</v>
      </c>
      <c r="AJ311" s="84"/>
      <c r="AK311" s="92" t="s">
        <v>1724</v>
      </c>
      <c r="AL311" s="84" t="b">
        <v>0</v>
      </c>
      <c r="AM311" s="84">
        <v>0</v>
      </c>
      <c r="AN311" s="92" t="s">
        <v>1724</v>
      </c>
      <c r="AO311" s="84" t="s">
        <v>1763</v>
      </c>
      <c r="AP311" s="84" t="b">
        <v>0</v>
      </c>
      <c r="AQ311" s="92" t="s">
        <v>1428</v>
      </c>
      <c r="AR311" s="84" t="s">
        <v>179</v>
      </c>
      <c r="AS311" s="84">
        <v>0</v>
      </c>
      <c r="AT311" s="84">
        <v>0</v>
      </c>
      <c r="AU311" s="84"/>
      <c r="AV311" s="84"/>
      <c r="AW311" s="84"/>
      <c r="AX311" s="84"/>
      <c r="AY311" s="84"/>
      <c r="AZ311" s="84"/>
      <c r="BA311" s="84"/>
      <c r="BB311" s="84"/>
    </row>
    <row r="312" spans="1:54" x14ac:dyDescent="0.2">
      <c r="A312" s="69" t="s">
        <v>288</v>
      </c>
      <c r="B312" s="69" t="s">
        <v>298</v>
      </c>
      <c r="C312" s="70"/>
      <c r="D312" s="71"/>
      <c r="E312" s="72"/>
      <c r="F312" s="73"/>
      <c r="G312" s="70"/>
      <c r="H312" s="74"/>
      <c r="I312" s="75"/>
      <c r="J312" s="75"/>
      <c r="K312" s="36"/>
      <c r="L312" s="82"/>
      <c r="M312" s="82"/>
      <c r="N312" s="77"/>
      <c r="O312" s="84" t="s">
        <v>500</v>
      </c>
      <c r="P312" s="86">
        <v>44020.488854166666</v>
      </c>
      <c r="Q312" s="84" t="s">
        <v>570</v>
      </c>
      <c r="R312" s="87" t="str">
        <f>HYPERLINK("https://medium.com/enlightened-today-japan/wayfarerについてのamaを開催-fe5df17864ed")</f>
        <v>https://medium.com/enlightened-today-japan/wayfarerについてのamaを開催-fe5df17864ed</v>
      </c>
      <c r="S312" s="84" t="s">
        <v>769</v>
      </c>
      <c r="T312" s="84" t="s">
        <v>807</v>
      </c>
      <c r="U312" s="84"/>
      <c r="V312" s="87" t="str">
        <f>HYPERLINK("http://pbs.twimg.com/profile_images/1242389989498818560/g3xihQXf_normal.jpg")</f>
        <v>http://pbs.twimg.com/profile_images/1242389989498818560/g3xihQXf_normal.jpg</v>
      </c>
      <c r="W312" s="86">
        <v>44020.488854166666</v>
      </c>
      <c r="X312" s="90">
        <v>44020</v>
      </c>
      <c r="Y312" s="92" t="s">
        <v>952</v>
      </c>
      <c r="Z312" s="87" t="str">
        <f>HYPERLINK("https://twitter.com/hackyugioh/status/1280829976338554880")</f>
        <v>https://twitter.com/hackyugioh/status/1280829976338554880</v>
      </c>
      <c r="AA312" s="84"/>
      <c r="AB312" s="84"/>
      <c r="AC312" s="92" t="s">
        <v>1371</v>
      </c>
      <c r="AD312" s="84"/>
      <c r="AE312" s="84" t="b">
        <v>0</v>
      </c>
      <c r="AF312" s="84">
        <v>0</v>
      </c>
      <c r="AG312" s="92" t="s">
        <v>1724</v>
      </c>
      <c r="AH312" s="84" t="b">
        <v>0</v>
      </c>
      <c r="AI312" s="84" t="s">
        <v>1750</v>
      </c>
      <c r="AJ312" s="84"/>
      <c r="AK312" s="92" t="s">
        <v>1724</v>
      </c>
      <c r="AL312" s="84" t="b">
        <v>0</v>
      </c>
      <c r="AM312" s="84">
        <v>4</v>
      </c>
      <c r="AN312" s="92" t="s">
        <v>1383</v>
      </c>
      <c r="AO312" s="84" t="s">
        <v>1768</v>
      </c>
      <c r="AP312" s="84" t="b">
        <v>0</v>
      </c>
      <c r="AQ312" s="92" t="s">
        <v>1383</v>
      </c>
      <c r="AR312" s="84" t="s">
        <v>179</v>
      </c>
      <c r="AS312" s="84">
        <v>0</v>
      </c>
      <c r="AT312" s="84">
        <v>0</v>
      </c>
      <c r="AU312" s="84"/>
      <c r="AV312" s="84"/>
      <c r="AW312" s="84"/>
      <c r="AX312" s="84"/>
      <c r="AY312" s="84"/>
      <c r="AZ312" s="84"/>
      <c r="BA312" s="84"/>
      <c r="BB312" s="84"/>
    </row>
    <row r="313" spans="1:54" x14ac:dyDescent="0.2">
      <c r="A313" s="69" t="s">
        <v>287</v>
      </c>
      <c r="B313" s="69" t="s">
        <v>298</v>
      </c>
      <c r="C313" s="70"/>
      <c r="D313" s="71"/>
      <c r="E313" s="72"/>
      <c r="F313" s="73"/>
      <c r="G313" s="70"/>
      <c r="H313" s="74"/>
      <c r="I313" s="75"/>
      <c r="J313" s="75"/>
      <c r="K313" s="36"/>
      <c r="L313" s="82"/>
      <c r="M313" s="82"/>
      <c r="N313" s="77"/>
      <c r="O313" s="84" t="s">
        <v>500</v>
      </c>
      <c r="P313" s="86">
        <v>44020.474351851852</v>
      </c>
      <c r="Q313" s="84" t="s">
        <v>570</v>
      </c>
      <c r="R313" s="87" t="str">
        <f>HYPERLINK("https://medium.com/enlightened-today-japan/wayfarerについてのamaを開催-fe5df17864ed")</f>
        <v>https://medium.com/enlightened-today-japan/wayfarerについてのamaを開催-fe5df17864ed</v>
      </c>
      <c r="S313" s="84" t="s">
        <v>769</v>
      </c>
      <c r="T313" s="84" t="s">
        <v>807</v>
      </c>
      <c r="U313" s="84"/>
      <c r="V313" s="87" t="str">
        <f>HYPERLINK("http://pbs.twimg.com/profile_images/1096387554771853314/QrQNn1L3_normal.jpg")</f>
        <v>http://pbs.twimg.com/profile_images/1096387554771853314/QrQNn1L3_normal.jpg</v>
      </c>
      <c r="W313" s="86">
        <v>44020.474351851852</v>
      </c>
      <c r="X313" s="90">
        <v>44020</v>
      </c>
      <c r="Y313" s="92" t="s">
        <v>951</v>
      </c>
      <c r="Z313" s="87" t="str">
        <f>HYPERLINK("https://twitter.com/yasubox/status/1280824720074530816")</f>
        <v>https://twitter.com/yasubox/status/1280824720074530816</v>
      </c>
      <c r="AA313" s="84"/>
      <c r="AB313" s="84"/>
      <c r="AC313" s="92" t="s">
        <v>1370</v>
      </c>
      <c r="AD313" s="84"/>
      <c r="AE313" s="84" t="b">
        <v>0</v>
      </c>
      <c r="AF313" s="84">
        <v>0</v>
      </c>
      <c r="AG313" s="92" t="s">
        <v>1724</v>
      </c>
      <c r="AH313" s="84" t="b">
        <v>0</v>
      </c>
      <c r="AI313" s="84" t="s">
        <v>1750</v>
      </c>
      <c r="AJ313" s="84"/>
      <c r="AK313" s="92" t="s">
        <v>1724</v>
      </c>
      <c r="AL313" s="84" t="b">
        <v>0</v>
      </c>
      <c r="AM313" s="84">
        <v>4</v>
      </c>
      <c r="AN313" s="92" t="s">
        <v>1383</v>
      </c>
      <c r="AO313" s="84" t="s">
        <v>1763</v>
      </c>
      <c r="AP313" s="84" t="b">
        <v>0</v>
      </c>
      <c r="AQ313" s="92" t="s">
        <v>1383</v>
      </c>
      <c r="AR313" s="84" t="s">
        <v>179</v>
      </c>
      <c r="AS313" s="84">
        <v>0</v>
      </c>
      <c r="AT313" s="84">
        <v>0</v>
      </c>
      <c r="AU313" s="84"/>
      <c r="AV313" s="84"/>
      <c r="AW313" s="84"/>
      <c r="AX313" s="84"/>
      <c r="AY313" s="84"/>
      <c r="AZ313" s="84"/>
      <c r="BA313" s="84"/>
      <c r="BB313" s="84"/>
    </row>
    <row r="314" spans="1:54" x14ac:dyDescent="0.2">
      <c r="A314" s="69" t="s">
        <v>314</v>
      </c>
      <c r="B314" s="69" t="s">
        <v>314</v>
      </c>
      <c r="C314" s="70"/>
      <c r="D314" s="71"/>
      <c r="E314" s="72"/>
      <c r="F314" s="73"/>
      <c r="G314" s="70"/>
      <c r="H314" s="74"/>
      <c r="I314" s="75"/>
      <c r="J314" s="75"/>
      <c r="K314" s="36"/>
      <c r="L314" s="82"/>
      <c r="M314" s="82"/>
      <c r="N314" s="77"/>
      <c r="O314" s="84" t="s">
        <v>179</v>
      </c>
      <c r="P314" s="86">
        <v>44020.471099537041</v>
      </c>
      <c r="Q314" s="84" t="s">
        <v>598</v>
      </c>
      <c r="R314" s="84"/>
      <c r="S314" s="84"/>
      <c r="T314" s="84" t="s">
        <v>819</v>
      </c>
      <c r="U314" s="87" t="str">
        <f>HYPERLINK("https://pbs.twimg.com/media/EcZmN7BUYAA4Urt.jpg")</f>
        <v>https://pbs.twimg.com/media/EcZmN7BUYAA4Urt.jpg</v>
      </c>
      <c r="V314" s="87" t="str">
        <f>HYPERLINK("https://pbs.twimg.com/media/EcZmN7BUYAA4Urt.jpg")</f>
        <v>https://pbs.twimg.com/media/EcZmN7BUYAA4Urt.jpg</v>
      </c>
      <c r="W314" s="86">
        <v>44020.471099537041</v>
      </c>
      <c r="X314" s="90">
        <v>44020</v>
      </c>
      <c r="Y314" s="92" t="s">
        <v>985</v>
      </c>
      <c r="Z314" s="87" t="str">
        <f>HYPERLINK("https://twitter.com/coolportraitgil/status/1280823539696717824")</f>
        <v>https://twitter.com/coolportraitgil/status/1280823539696717824</v>
      </c>
      <c r="AA314" s="84"/>
      <c r="AB314" s="84"/>
      <c r="AC314" s="92" t="s">
        <v>1404</v>
      </c>
      <c r="AD314" s="84"/>
      <c r="AE314" s="84" t="b">
        <v>0</v>
      </c>
      <c r="AF314" s="84">
        <v>3</v>
      </c>
      <c r="AG314" s="92" t="s">
        <v>1724</v>
      </c>
      <c r="AH314" s="84" t="b">
        <v>0</v>
      </c>
      <c r="AI314" s="84" t="s">
        <v>1750</v>
      </c>
      <c r="AJ314" s="84"/>
      <c r="AK314" s="92" t="s">
        <v>1724</v>
      </c>
      <c r="AL314" s="84" t="b">
        <v>0</v>
      </c>
      <c r="AM314" s="84">
        <v>0</v>
      </c>
      <c r="AN314" s="92" t="s">
        <v>1724</v>
      </c>
      <c r="AO314" s="84" t="s">
        <v>1763</v>
      </c>
      <c r="AP314" s="84" t="b">
        <v>0</v>
      </c>
      <c r="AQ314" s="92" t="s">
        <v>1404</v>
      </c>
      <c r="AR314" s="84" t="s">
        <v>179</v>
      </c>
      <c r="AS314" s="84">
        <v>0</v>
      </c>
      <c r="AT314" s="84">
        <v>0</v>
      </c>
      <c r="AU314" s="84"/>
      <c r="AV314" s="84"/>
      <c r="AW314" s="84"/>
      <c r="AX314" s="84"/>
      <c r="AY314" s="84"/>
      <c r="AZ314" s="84"/>
      <c r="BA314" s="84"/>
      <c r="BB314" s="84"/>
    </row>
    <row r="315" spans="1:54" x14ac:dyDescent="0.2">
      <c r="A315" s="69" t="s">
        <v>357</v>
      </c>
      <c r="B315" s="69" t="s">
        <v>409</v>
      </c>
      <c r="C315" s="70"/>
      <c r="D315" s="71"/>
      <c r="E315" s="72"/>
      <c r="F315" s="73"/>
      <c r="G315" s="70"/>
      <c r="H315" s="74"/>
      <c r="I315" s="75"/>
      <c r="J315" s="75"/>
      <c r="K315" s="36"/>
      <c r="L315" s="82"/>
      <c r="M315" s="82"/>
      <c r="N315" s="77"/>
      <c r="O315" s="84" t="s">
        <v>500</v>
      </c>
      <c r="P315" s="86">
        <v>44020.460844907408</v>
      </c>
      <c r="Q315" s="84" t="s">
        <v>664</v>
      </c>
      <c r="R315" s="84"/>
      <c r="S315" s="84"/>
      <c r="T315" s="84" t="s">
        <v>781</v>
      </c>
      <c r="U315" s="84"/>
      <c r="V315" s="87" t="str">
        <f>HYPERLINK("http://pbs.twimg.com/profile_images/914368413673259009/gmggw-BO_normal.jpg")</f>
        <v>http://pbs.twimg.com/profile_images/914368413673259009/gmggw-BO_normal.jpg</v>
      </c>
      <c r="W315" s="86">
        <v>44020.460844907408</v>
      </c>
      <c r="X315" s="90">
        <v>44020</v>
      </c>
      <c r="Y315" s="92" t="s">
        <v>1073</v>
      </c>
      <c r="Z315" s="87" t="str">
        <f>HYPERLINK("https://twitter.com/magicalthorn/status/1280819826777194497")</f>
        <v>https://twitter.com/magicalthorn/status/1280819826777194497</v>
      </c>
      <c r="AA315" s="84"/>
      <c r="AB315" s="84"/>
      <c r="AC315" s="92" t="s">
        <v>1492</v>
      </c>
      <c r="AD315" s="84"/>
      <c r="AE315" s="84" t="b">
        <v>0</v>
      </c>
      <c r="AF315" s="84">
        <v>0</v>
      </c>
      <c r="AG315" s="92" t="s">
        <v>1724</v>
      </c>
      <c r="AH315" s="84" t="b">
        <v>0</v>
      </c>
      <c r="AI315" s="84" t="s">
        <v>1750</v>
      </c>
      <c r="AJ315" s="84"/>
      <c r="AK315" s="92" t="s">
        <v>1724</v>
      </c>
      <c r="AL315" s="84" t="b">
        <v>0</v>
      </c>
      <c r="AM315" s="84">
        <v>1</v>
      </c>
      <c r="AN315" s="92" t="s">
        <v>1589</v>
      </c>
      <c r="AO315" s="84" t="s">
        <v>1764</v>
      </c>
      <c r="AP315" s="84" t="b">
        <v>0</v>
      </c>
      <c r="AQ315" s="92" t="s">
        <v>1589</v>
      </c>
      <c r="AR315" s="84" t="s">
        <v>179</v>
      </c>
      <c r="AS315" s="84">
        <v>0</v>
      </c>
      <c r="AT315" s="84">
        <v>0</v>
      </c>
      <c r="AU315" s="84"/>
      <c r="AV315" s="84"/>
      <c r="AW315" s="84"/>
      <c r="AX315" s="84"/>
      <c r="AY315" s="84"/>
      <c r="AZ315" s="84"/>
      <c r="BA315" s="84"/>
      <c r="BB315" s="84"/>
    </row>
    <row r="316" spans="1:54" x14ac:dyDescent="0.2">
      <c r="A316" s="69" t="s">
        <v>286</v>
      </c>
      <c r="B316" s="69" t="s">
        <v>298</v>
      </c>
      <c r="C316" s="70"/>
      <c r="D316" s="71"/>
      <c r="E316" s="72"/>
      <c r="F316" s="73"/>
      <c r="G316" s="70"/>
      <c r="H316" s="74"/>
      <c r="I316" s="75"/>
      <c r="J316" s="75"/>
      <c r="K316" s="36"/>
      <c r="L316" s="82"/>
      <c r="M316" s="82"/>
      <c r="N316" s="77"/>
      <c r="O316" s="84" t="s">
        <v>500</v>
      </c>
      <c r="P316" s="86">
        <v>44020.458611111113</v>
      </c>
      <c r="Q316" s="84" t="s">
        <v>570</v>
      </c>
      <c r="R316" s="87" t="str">
        <f>HYPERLINK("https://medium.com/enlightened-today-japan/wayfarerについてのamaを開催-fe5df17864ed")</f>
        <v>https://medium.com/enlightened-today-japan/wayfarerについてのamaを開催-fe5df17864ed</v>
      </c>
      <c r="S316" s="84" t="s">
        <v>769</v>
      </c>
      <c r="T316" s="84" t="s">
        <v>807</v>
      </c>
      <c r="U316" s="84"/>
      <c r="V316" s="87" t="str">
        <f>HYPERLINK("http://pbs.twimg.com/profile_images/1143520624280662016/abvpJYHp_normal.png")</f>
        <v>http://pbs.twimg.com/profile_images/1143520624280662016/abvpJYHp_normal.png</v>
      </c>
      <c r="W316" s="86">
        <v>44020.458611111113</v>
      </c>
      <c r="X316" s="90">
        <v>44020</v>
      </c>
      <c r="Y316" s="92" t="s">
        <v>950</v>
      </c>
      <c r="Z316" s="87" t="str">
        <f>HYPERLINK("https://twitter.com/asner_enl/status/1280819017154875393")</f>
        <v>https://twitter.com/asner_enl/status/1280819017154875393</v>
      </c>
      <c r="AA316" s="84"/>
      <c r="AB316" s="84"/>
      <c r="AC316" s="92" t="s">
        <v>1369</v>
      </c>
      <c r="AD316" s="84"/>
      <c r="AE316" s="84" t="b">
        <v>0</v>
      </c>
      <c r="AF316" s="84">
        <v>0</v>
      </c>
      <c r="AG316" s="92" t="s">
        <v>1724</v>
      </c>
      <c r="AH316" s="84" t="b">
        <v>0</v>
      </c>
      <c r="AI316" s="84" t="s">
        <v>1750</v>
      </c>
      <c r="AJ316" s="84"/>
      <c r="AK316" s="92" t="s">
        <v>1724</v>
      </c>
      <c r="AL316" s="84" t="b">
        <v>0</v>
      </c>
      <c r="AM316" s="84">
        <v>4</v>
      </c>
      <c r="AN316" s="92" t="s">
        <v>1383</v>
      </c>
      <c r="AO316" s="84" t="s">
        <v>1766</v>
      </c>
      <c r="AP316" s="84" t="b">
        <v>0</v>
      </c>
      <c r="AQ316" s="92" t="s">
        <v>1383</v>
      </c>
      <c r="AR316" s="84" t="s">
        <v>179</v>
      </c>
      <c r="AS316" s="84">
        <v>0</v>
      </c>
      <c r="AT316" s="84">
        <v>0</v>
      </c>
      <c r="AU316" s="84"/>
      <c r="AV316" s="84"/>
      <c r="AW316" s="84"/>
      <c r="AX316" s="84"/>
      <c r="AY316" s="84"/>
      <c r="AZ316" s="84"/>
      <c r="BA316" s="84"/>
      <c r="BB316" s="84"/>
    </row>
    <row r="317" spans="1:54" x14ac:dyDescent="0.2">
      <c r="A317" s="69" t="s">
        <v>298</v>
      </c>
      <c r="B317" s="69" t="s">
        <v>298</v>
      </c>
      <c r="C317" s="70"/>
      <c r="D317" s="71"/>
      <c r="E317" s="72"/>
      <c r="F317" s="73"/>
      <c r="G317" s="70"/>
      <c r="H317" s="74"/>
      <c r="I317" s="75"/>
      <c r="J317" s="75"/>
      <c r="K317" s="36"/>
      <c r="L317" s="82"/>
      <c r="M317" s="82"/>
      <c r="N317" s="77"/>
      <c r="O317" s="84" t="s">
        <v>179</v>
      </c>
      <c r="P317" s="86">
        <v>44020.454965277779</v>
      </c>
      <c r="Q317" s="84" t="s">
        <v>570</v>
      </c>
      <c r="R317" s="87" t="str">
        <f>HYPERLINK("https://medium.com/enlightened-today-japan/wayfarerについてのamaを開催-fe5df17864ed")</f>
        <v>https://medium.com/enlightened-today-japan/wayfarerについてのamaを開催-fe5df17864ed</v>
      </c>
      <c r="S317" s="84" t="s">
        <v>769</v>
      </c>
      <c r="T317" s="84" t="s">
        <v>807</v>
      </c>
      <c r="U317" s="84"/>
      <c r="V317" s="87" t="str">
        <f>HYPERLINK("http://pbs.twimg.com/profile_images/985893489350131713/6T37Onm3_normal.jpg")</f>
        <v>http://pbs.twimg.com/profile_images/985893489350131713/6T37Onm3_normal.jpg</v>
      </c>
      <c r="W317" s="86">
        <v>44020.454965277779</v>
      </c>
      <c r="X317" s="90">
        <v>44020</v>
      </c>
      <c r="Y317" s="92" t="s">
        <v>964</v>
      </c>
      <c r="Z317" s="87" t="str">
        <f>HYPERLINK("https://twitter.com/enltodayjapan/status/1280817695928184832")</f>
        <v>https://twitter.com/enltodayjapan/status/1280817695928184832</v>
      </c>
      <c r="AA317" s="84"/>
      <c r="AB317" s="84"/>
      <c r="AC317" s="92" t="s">
        <v>1383</v>
      </c>
      <c r="AD317" s="84"/>
      <c r="AE317" s="84" t="b">
        <v>0</v>
      </c>
      <c r="AF317" s="84">
        <v>10</v>
      </c>
      <c r="AG317" s="92" t="s">
        <v>1724</v>
      </c>
      <c r="AH317" s="84" t="b">
        <v>0</v>
      </c>
      <c r="AI317" s="84" t="s">
        <v>1750</v>
      </c>
      <c r="AJ317" s="84"/>
      <c r="AK317" s="92" t="s">
        <v>1724</v>
      </c>
      <c r="AL317" s="84" t="b">
        <v>0</v>
      </c>
      <c r="AM317" s="84">
        <v>4</v>
      </c>
      <c r="AN317" s="92" t="s">
        <v>1724</v>
      </c>
      <c r="AO317" s="84" t="s">
        <v>1777</v>
      </c>
      <c r="AP317" s="84" t="b">
        <v>0</v>
      </c>
      <c r="AQ317" s="92" t="s">
        <v>1383</v>
      </c>
      <c r="AR317" s="84" t="s">
        <v>179</v>
      </c>
      <c r="AS317" s="84">
        <v>0</v>
      </c>
      <c r="AT317" s="84">
        <v>0</v>
      </c>
      <c r="AU317" s="84"/>
      <c r="AV317" s="84"/>
      <c r="AW317" s="84"/>
      <c r="AX317" s="84"/>
      <c r="AY317" s="84"/>
      <c r="AZ317" s="84"/>
      <c r="BA317" s="84"/>
      <c r="BB317" s="84"/>
    </row>
    <row r="318" spans="1:54" x14ac:dyDescent="0.2">
      <c r="A318" s="69" t="s">
        <v>285</v>
      </c>
      <c r="B318" s="69" t="s">
        <v>285</v>
      </c>
      <c r="C318" s="70"/>
      <c r="D318" s="71"/>
      <c r="E318" s="72"/>
      <c r="F318" s="73"/>
      <c r="G318" s="70"/>
      <c r="H318" s="74"/>
      <c r="I318" s="75"/>
      <c r="J318" s="75"/>
      <c r="K318" s="36"/>
      <c r="L318" s="82"/>
      <c r="M318" s="82"/>
      <c r="N318" s="77"/>
      <c r="O318" s="84" t="s">
        <v>179</v>
      </c>
      <c r="P318" s="86">
        <v>44020.440509259257</v>
      </c>
      <c r="Q318" s="84" t="s">
        <v>569</v>
      </c>
      <c r="R318" s="84"/>
      <c r="S318" s="84"/>
      <c r="T318" s="84" t="s">
        <v>781</v>
      </c>
      <c r="U318" s="87" t="str">
        <f>HYPERLINK("https://pbs.twimg.com/tweet_video_thumb/EcZcIo2XgAERQLl.jpg")</f>
        <v>https://pbs.twimg.com/tweet_video_thumb/EcZcIo2XgAERQLl.jpg</v>
      </c>
      <c r="V318" s="87" t="str">
        <f>HYPERLINK("https://pbs.twimg.com/tweet_video_thumb/EcZcIo2XgAERQLl.jpg")</f>
        <v>https://pbs.twimg.com/tweet_video_thumb/EcZcIo2XgAERQLl.jpg</v>
      </c>
      <c r="W318" s="86">
        <v>44020.440509259257</v>
      </c>
      <c r="X318" s="90">
        <v>44020</v>
      </c>
      <c r="Y318" s="92" t="s">
        <v>949</v>
      </c>
      <c r="Z318" s="87" t="str">
        <f>HYPERLINK("https://twitter.com/maybeflush/status/1280812456902787072")</f>
        <v>https://twitter.com/maybeflush/status/1280812456902787072</v>
      </c>
      <c r="AA318" s="84"/>
      <c r="AB318" s="84"/>
      <c r="AC318" s="92" t="s">
        <v>1368</v>
      </c>
      <c r="AD318" s="84"/>
      <c r="AE318" s="84" t="b">
        <v>0</v>
      </c>
      <c r="AF318" s="84">
        <v>0</v>
      </c>
      <c r="AG318" s="92" t="s">
        <v>1724</v>
      </c>
      <c r="AH318" s="84" t="b">
        <v>0</v>
      </c>
      <c r="AI318" s="84" t="s">
        <v>1756</v>
      </c>
      <c r="AJ318" s="84"/>
      <c r="AK318" s="92" t="s">
        <v>1724</v>
      </c>
      <c r="AL318" s="84" t="b">
        <v>0</v>
      </c>
      <c r="AM318" s="84">
        <v>0</v>
      </c>
      <c r="AN318" s="92" t="s">
        <v>1724</v>
      </c>
      <c r="AO318" s="84" t="s">
        <v>1766</v>
      </c>
      <c r="AP318" s="84" t="b">
        <v>0</v>
      </c>
      <c r="AQ318" s="92" t="s">
        <v>1368</v>
      </c>
      <c r="AR318" s="84" t="s">
        <v>179</v>
      </c>
      <c r="AS318" s="84">
        <v>0</v>
      </c>
      <c r="AT318" s="84">
        <v>0</v>
      </c>
      <c r="AU318" s="84"/>
      <c r="AV318" s="84"/>
      <c r="AW318" s="84"/>
      <c r="AX318" s="84"/>
      <c r="AY318" s="84"/>
      <c r="AZ318" s="84"/>
      <c r="BA318" s="84"/>
      <c r="BB318" s="84"/>
    </row>
    <row r="319" spans="1:54" x14ac:dyDescent="0.2">
      <c r="A319" s="69" t="s">
        <v>409</v>
      </c>
      <c r="B319" s="69" t="s">
        <v>409</v>
      </c>
      <c r="C319" s="70"/>
      <c r="D319" s="71"/>
      <c r="E319" s="72"/>
      <c r="F319" s="73"/>
      <c r="G319" s="70"/>
      <c r="H319" s="74"/>
      <c r="I319" s="75"/>
      <c r="J319" s="75"/>
      <c r="K319" s="36"/>
      <c r="L319" s="82"/>
      <c r="M319" s="82"/>
      <c r="N319" s="77"/>
      <c r="O319" s="84" t="s">
        <v>179</v>
      </c>
      <c r="P319" s="86">
        <v>44020.433796296296</v>
      </c>
      <c r="Q319" s="84" t="s">
        <v>664</v>
      </c>
      <c r="R319" s="87" t="str">
        <f>HYPERLINK("https://community.wayfarer.nianticlabs.com/discussion/4864/bringing-back-amas/p1")</f>
        <v>https://community.wayfarer.nianticlabs.com/discussion/4864/bringing-back-amas/p1</v>
      </c>
      <c r="S319" s="84" t="s">
        <v>764</v>
      </c>
      <c r="T319" s="84" t="s">
        <v>781</v>
      </c>
      <c r="U319" s="84"/>
      <c r="V319" s="87" t="str">
        <f>HYPERLINK("http://pbs.twimg.com/profile_images/1236668333157519361/R8t7DbMO_normal.jpg")</f>
        <v>http://pbs.twimg.com/profile_images/1236668333157519361/R8t7DbMO_normal.jpg</v>
      </c>
      <c r="W319" s="86">
        <v>44020.433796296296</v>
      </c>
      <c r="X319" s="90">
        <v>44020</v>
      </c>
      <c r="Y319" s="92" t="s">
        <v>1168</v>
      </c>
      <c r="Z319" s="87" t="str">
        <f>HYPERLINK("https://twitter.com/sinxsan/status/1280810024827146241")</f>
        <v>https://twitter.com/sinxsan/status/1280810024827146241</v>
      </c>
      <c r="AA319" s="84"/>
      <c r="AB319" s="84"/>
      <c r="AC319" s="92" t="s">
        <v>1589</v>
      </c>
      <c r="AD319" s="84"/>
      <c r="AE319" s="84" t="b">
        <v>0</v>
      </c>
      <c r="AF319" s="84">
        <v>22</v>
      </c>
      <c r="AG319" s="92" t="s">
        <v>1724</v>
      </c>
      <c r="AH319" s="84" t="b">
        <v>0</v>
      </c>
      <c r="AI319" s="84" t="s">
        <v>1750</v>
      </c>
      <c r="AJ319" s="84"/>
      <c r="AK319" s="92" t="s">
        <v>1724</v>
      </c>
      <c r="AL319" s="84" t="b">
        <v>0</v>
      </c>
      <c r="AM319" s="84">
        <v>1</v>
      </c>
      <c r="AN319" s="92" t="s">
        <v>1724</v>
      </c>
      <c r="AO319" s="84" t="s">
        <v>1766</v>
      </c>
      <c r="AP319" s="84" t="b">
        <v>0</v>
      </c>
      <c r="AQ319" s="92" t="s">
        <v>1589</v>
      </c>
      <c r="AR319" s="84" t="s">
        <v>179</v>
      </c>
      <c r="AS319" s="84">
        <v>0</v>
      </c>
      <c r="AT319" s="84">
        <v>0</v>
      </c>
      <c r="AU319" s="84"/>
      <c r="AV319" s="84"/>
      <c r="AW319" s="84"/>
      <c r="AX319" s="84"/>
      <c r="AY319" s="84"/>
      <c r="AZ319" s="84"/>
      <c r="BA319" s="84"/>
      <c r="BB319" s="84"/>
    </row>
    <row r="320" spans="1:54" x14ac:dyDescent="0.2">
      <c r="A320" s="69" t="s">
        <v>284</v>
      </c>
      <c r="B320" s="69" t="s">
        <v>284</v>
      </c>
      <c r="C320" s="70"/>
      <c r="D320" s="71"/>
      <c r="E320" s="72"/>
      <c r="F320" s="73"/>
      <c r="G320" s="70"/>
      <c r="H320" s="74"/>
      <c r="I320" s="75"/>
      <c r="J320" s="75"/>
      <c r="K320" s="36"/>
      <c r="L320" s="82"/>
      <c r="M320" s="82"/>
      <c r="N320" s="77"/>
      <c r="O320" s="84" t="s">
        <v>179</v>
      </c>
      <c r="P320" s="86">
        <v>44020.416481481479</v>
      </c>
      <c r="Q320" s="84" t="s">
        <v>568</v>
      </c>
      <c r="R320" s="84"/>
      <c r="S320" s="84"/>
      <c r="T320" s="84" t="s">
        <v>781</v>
      </c>
      <c r="U320" s="87" t="str">
        <f>HYPERLINK("https://pbs.twimg.com/media/EcZUOFYU4AEmg5N.jpg")</f>
        <v>https://pbs.twimg.com/media/EcZUOFYU4AEmg5N.jpg</v>
      </c>
      <c r="V320" s="87" t="str">
        <f>HYPERLINK("https://pbs.twimg.com/media/EcZUOFYU4AEmg5N.jpg")</f>
        <v>https://pbs.twimg.com/media/EcZUOFYU4AEmg5N.jpg</v>
      </c>
      <c r="W320" s="86">
        <v>44020.416481481479</v>
      </c>
      <c r="X320" s="90">
        <v>44020</v>
      </c>
      <c r="Y320" s="92" t="s">
        <v>948</v>
      </c>
      <c r="Z320" s="87" t="str">
        <f>HYPERLINK("https://twitter.com/akiyoshi_kamide/status/1280803750471319559")</f>
        <v>https://twitter.com/akiyoshi_kamide/status/1280803750471319559</v>
      </c>
      <c r="AA320" s="84"/>
      <c r="AB320" s="84"/>
      <c r="AC320" s="92" t="s">
        <v>1367</v>
      </c>
      <c r="AD320" s="92" t="s">
        <v>1710</v>
      </c>
      <c r="AE320" s="84" t="b">
        <v>0</v>
      </c>
      <c r="AF320" s="84">
        <v>2</v>
      </c>
      <c r="AG320" s="92" t="s">
        <v>1733</v>
      </c>
      <c r="AH320" s="84" t="b">
        <v>0</v>
      </c>
      <c r="AI320" s="84" t="s">
        <v>1750</v>
      </c>
      <c r="AJ320" s="84"/>
      <c r="AK320" s="92" t="s">
        <v>1724</v>
      </c>
      <c r="AL320" s="84" t="b">
        <v>0</v>
      </c>
      <c r="AM320" s="84">
        <v>1</v>
      </c>
      <c r="AN320" s="92" t="s">
        <v>1724</v>
      </c>
      <c r="AO320" s="84" t="s">
        <v>1764</v>
      </c>
      <c r="AP320" s="84" t="b">
        <v>0</v>
      </c>
      <c r="AQ320" s="92" t="s">
        <v>1710</v>
      </c>
      <c r="AR320" s="84" t="s">
        <v>179</v>
      </c>
      <c r="AS320" s="84">
        <v>0</v>
      </c>
      <c r="AT320" s="84">
        <v>0</v>
      </c>
      <c r="AU320" s="84" t="s">
        <v>1786</v>
      </c>
      <c r="AV320" s="84" t="s">
        <v>1789</v>
      </c>
      <c r="AW320" s="84" t="s">
        <v>1792</v>
      </c>
      <c r="AX320" s="84" t="s">
        <v>1797</v>
      </c>
      <c r="AY320" s="84" t="s">
        <v>1802</v>
      </c>
      <c r="AZ320" s="84" t="s">
        <v>1807</v>
      </c>
      <c r="BA320" s="84" t="s">
        <v>1810</v>
      </c>
      <c r="BB320" s="87" t="str">
        <f>HYPERLINK("https://api.twitter.com/1.1/geo/id/2dca688458c4fd18.json")</f>
        <v>https://api.twitter.com/1.1/geo/id/2dca688458c4fd18.json</v>
      </c>
    </row>
    <row r="321" spans="1:54" x14ac:dyDescent="0.2">
      <c r="A321" s="69" t="s">
        <v>283</v>
      </c>
      <c r="B321" s="69" t="s">
        <v>471</v>
      </c>
      <c r="C321" s="70"/>
      <c r="D321" s="71"/>
      <c r="E321" s="72"/>
      <c r="F321" s="73"/>
      <c r="G321" s="70"/>
      <c r="H321" s="74"/>
      <c r="I321" s="75"/>
      <c r="J321" s="75"/>
      <c r="K321" s="36"/>
      <c r="L321" s="82"/>
      <c r="M321" s="82"/>
      <c r="N321" s="77"/>
      <c r="O321" s="84" t="s">
        <v>503</v>
      </c>
      <c r="P321" s="86">
        <v>44020.40347222222</v>
      </c>
      <c r="Q321" s="84" t="s">
        <v>567</v>
      </c>
      <c r="R321" s="84"/>
      <c r="S321" s="84"/>
      <c r="T321" s="84" t="s">
        <v>781</v>
      </c>
      <c r="U321" s="87" t="str">
        <f>HYPERLINK("https://pbs.twimg.com/media/EcZP66pUcAEbV1O.jpg")</f>
        <v>https://pbs.twimg.com/media/EcZP66pUcAEbV1O.jpg</v>
      </c>
      <c r="V321" s="87" t="str">
        <f>HYPERLINK("https://pbs.twimg.com/media/EcZP66pUcAEbV1O.jpg")</f>
        <v>https://pbs.twimg.com/media/EcZP66pUcAEbV1O.jpg</v>
      </c>
      <c r="W321" s="86">
        <v>44020.40347222222</v>
      </c>
      <c r="X321" s="90">
        <v>44020</v>
      </c>
      <c r="Y321" s="92" t="s">
        <v>947</v>
      </c>
      <c r="Z321" s="87" t="str">
        <f>HYPERLINK("https://twitter.com/puchiyawa/status/1280799034752434176")</f>
        <v>https://twitter.com/puchiyawa/status/1280799034752434176</v>
      </c>
      <c r="AA321" s="84"/>
      <c r="AB321" s="84"/>
      <c r="AC321" s="92" t="s">
        <v>1366</v>
      </c>
      <c r="AD321" s="92" t="s">
        <v>1709</v>
      </c>
      <c r="AE321" s="84" t="b">
        <v>0</v>
      </c>
      <c r="AF321" s="84">
        <v>1</v>
      </c>
      <c r="AG321" s="92" t="s">
        <v>1732</v>
      </c>
      <c r="AH321" s="84" t="b">
        <v>0</v>
      </c>
      <c r="AI321" s="84" t="s">
        <v>1750</v>
      </c>
      <c r="AJ321" s="84"/>
      <c r="AK321" s="92" t="s">
        <v>1724</v>
      </c>
      <c r="AL321" s="84" t="b">
        <v>0</v>
      </c>
      <c r="AM321" s="84">
        <v>0</v>
      </c>
      <c r="AN321" s="92" t="s">
        <v>1724</v>
      </c>
      <c r="AO321" s="84" t="s">
        <v>1763</v>
      </c>
      <c r="AP321" s="84" t="b">
        <v>0</v>
      </c>
      <c r="AQ321" s="92" t="s">
        <v>1709</v>
      </c>
      <c r="AR321" s="84" t="s">
        <v>179</v>
      </c>
      <c r="AS321" s="84">
        <v>0</v>
      </c>
      <c r="AT321" s="84">
        <v>0</v>
      </c>
      <c r="AU321" s="84"/>
      <c r="AV321" s="84"/>
      <c r="AW321" s="84"/>
      <c r="AX321" s="84"/>
      <c r="AY321" s="84"/>
      <c r="AZ321" s="84"/>
      <c r="BA321" s="84"/>
      <c r="BB321" s="84"/>
    </row>
    <row r="322" spans="1:54" x14ac:dyDescent="0.2">
      <c r="A322" s="69" t="s">
        <v>282</v>
      </c>
      <c r="B322" s="69" t="s">
        <v>282</v>
      </c>
      <c r="C322" s="70"/>
      <c r="D322" s="71"/>
      <c r="E322" s="72"/>
      <c r="F322" s="73"/>
      <c r="G322" s="70"/>
      <c r="H322" s="74"/>
      <c r="I322" s="75"/>
      <c r="J322" s="75"/>
      <c r="K322" s="36"/>
      <c r="L322" s="82"/>
      <c r="M322" s="82"/>
      <c r="N322" s="77"/>
      <c r="O322" s="84" t="s">
        <v>179</v>
      </c>
      <c r="P322" s="86">
        <v>44020.398078703707</v>
      </c>
      <c r="Q322" s="84" t="s">
        <v>566</v>
      </c>
      <c r="R322" s="87" t="str">
        <f>HYPERLINK("https://intel.ingress.com/intel?ll=35.626159,139.723602&amp;z=17&amp;pll=35.624542,139.725192")</f>
        <v>https://intel.ingress.com/intel?ll=35.626159,139.723602&amp;z=17&amp;pll=35.624542,139.725192</v>
      </c>
      <c r="S322" s="84" t="s">
        <v>768</v>
      </c>
      <c r="T322" s="84" t="s">
        <v>781</v>
      </c>
      <c r="U322" s="87" t="str">
        <f>HYPERLINK("https://pbs.twimg.com/media/EcZOJXhVAAAa9qA.jpg")</f>
        <v>https://pbs.twimg.com/media/EcZOJXhVAAAa9qA.jpg</v>
      </c>
      <c r="V322" s="87" t="str">
        <f>HYPERLINK("https://pbs.twimg.com/media/EcZOJXhVAAAa9qA.jpg")</f>
        <v>https://pbs.twimg.com/media/EcZOJXhVAAAa9qA.jpg</v>
      </c>
      <c r="W322" s="86">
        <v>44020.398078703707</v>
      </c>
      <c r="X322" s="90">
        <v>44020</v>
      </c>
      <c r="Y322" s="92" t="s">
        <v>946</v>
      </c>
      <c r="Z322" s="87" t="str">
        <f>HYPERLINK("https://twitter.com/kameron_136/status/1280797078843568128")</f>
        <v>https://twitter.com/kameron_136/status/1280797078843568128</v>
      </c>
      <c r="AA322" s="84"/>
      <c r="AB322" s="84"/>
      <c r="AC322" s="92" t="s">
        <v>1365</v>
      </c>
      <c r="AD322" s="84"/>
      <c r="AE322" s="84" t="b">
        <v>0</v>
      </c>
      <c r="AF322" s="84">
        <v>6</v>
      </c>
      <c r="AG322" s="92" t="s">
        <v>1724</v>
      </c>
      <c r="AH322" s="84" t="b">
        <v>0</v>
      </c>
      <c r="AI322" s="84" t="s">
        <v>1750</v>
      </c>
      <c r="AJ322" s="84"/>
      <c r="AK322" s="92" t="s">
        <v>1724</v>
      </c>
      <c r="AL322" s="84" t="b">
        <v>0</v>
      </c>
      <c r="AM322" s="84">
        <v>0</v>
      </c>
      <c r="AN322" s="92" t="s">
        <v>1724</v>
      </c>
      <c r="AO322" s="84" t="s">
        <v>1764</v>
      </c>
      <c r="AP322" s="84" t="b">
        <v>0</v>
      </c>
      <c r="AQ322" s="92" t="s">
        <v>1365</v>
      </c>
      <c r="AR322" s="84" t="s">
        <v>179</v>
      </c>
      <c r="AS322" s="84">
        <v>0</v>
      </c>
      <c r="AT322" s="84">
        <v>0</v>
      </c>
      <c r="AU322" s="84"/>
      <c r="AV322" s="84"/>
      <c r="AW322" s="84"/>
      <c r="AX322" s="84"/>
      <c r="AY322" s="84"/>
      <c r="AZ322" s="84"/>
      <c r="BA322" s="84"/>
      <c r="BB322" s="84"/>
    </row>
    <row r="323" spans="1:54" x14ac:dyDescent="0.2">
      <c r="A323" s="69" t="s">
        <v>357</v>
      </c>
      <c r="B323" s="69" t="s">
        <v>409</v>
      </c>
      <c r="C323" s="70"/>
      <c r="D323" s="71"/>
      <c r="E323" s="72"/>
      <c r="F323" s="73"/>
      <c r="G323" s="70"/>
      <c r="H323" s="74"/>
      <c r="I323" s="75"/>
      <c r="J323" s="75"/>
      <c r="K323" s="36"/>
      <c r="L323" s="82"/>
      <c r="M323" s="82"/>
      <c r="N323" s="77"/>
      <c r="O323" s="84" t="s">
        <v>500</v>
      </c>
      <c r="P323" s="86">
        <v>44020.378333333334</v>
      </c>
      <c r="Q323" s="84" t="s">
        <v>663</v>
      </c>
      <c r="R323" s="84"/>
      <c r="S323" s="84"/>
      <c r="T323" s="84"/>
      <c r="U323" s="84"/>
      <c r="V323" s="87" t="str">
        <f>HYPERLINK("http://pbs.twimg.com/profile_images/914368413673259009/gmggw-BO_normal.jpg")</f>
        <v>http://pbs.twimg.com/profile_images/914368413673259009/gmggw-BO_normal.jpg</v>
      </c>
      <c r="W323" s="86">
        <v>44020.378333333334</v>
      </c>
      <c r="X323" s="90">
        <v>44020</v>
      </c>
      <c r="Y323" s="92" t="s">
        <v>1072</v>
      </c>
      <c r="Z323" s="87" t="str">
        <f>HYPERLINK("https://twitter.com/magicalthorn/status/1280789923977555968")</f>
        <v>https://twitter.com/magicalthorn/status/1280789923977555968</v>
      </c>
      <c r="AA323" s="84"/>
      <c r="AB323" s="84"/>
      <c r="AC323" s="92" t="s">
        <v>1491</v>
      </c>
      <c r="AD323" s="84"/>
      <c r="AE323" s="84" t="b">
        <v>0</v>
      </c>
      <c r="AF323" s="84">
        <v>0</v>
      </c>
      <c r="AG323" s="92" t="s">
        <v>1724</v>
      </c>
      <c r="AH323" s="84" t="b">
        <v>0</v>
      </c>
      <c r="AI323" s="84" t="s">
        <v>1750</v>
      </c>
      <c r="AJ323" s="84"/>
      <c r="AK323" s="92" t="s">
        <v>1724</v>
      </c>
      <c r="AL323" s="84" t="b">
        <v>0</v>
      </c>
      <c r="AM323" s="84">
        <v>1</v>
      </c>
      <c r="AN323" s="92" t="s">
        <v>1588</v>
      </c>
      <c r="AO323" s="84" t="s">
        <v>1764</v>
      </c>
      <c r="AP323" s="84" t="b">
        <v>0</v>
      </c>
      <c r="AQ323" s="92" t="s">
        <v>1588</v>
      </c>
      <c r="AR323" s="84" t="s">
        <v>179</v>
      </c>
      <c r="AS323" s="84">
        <v>0</v>
      </c>
      <c r="AT323" s="84">
        <v>0</v>
      </c>
      <c r="AU323" s="84"/>
      <c r="AV323" s="84"/>
      <c r="AW323" s="84"/>
      <c r="AX323" s="84"/>
      <c r="AY323" s="84"/>
      <c r="AZ323" s="84"/>
      <c r="BA323" s="84"/>
      <c r="BB323" s="84"/>
    </row>
    <row r="324" spans="1:54" x14ac:dyDescent="0.2">
      <c r="A324" s="69" t="s">
        <v>357</v>
      </c>
      <c r="B324" s="69" t="s">
        <v>409</v>
      </c>
      <c r="C324" s="70"/>
      <c r="D324" s="71"/>
      <c r="E324" s="72"/>
      <c r="F324" s="73"/>
      <c r="G324" s="70"/>
      <c r="H324" s="74"/>
      <c r="I324" s="75"/>
      <c r="J324" s="75"/>
      <c r="K324" s="36"/>
      <c r="L324" s="82"/>
      <c r="M324" s="82"/>
      <c r="N324" s="77"/>
      <c r="O324" s="84" t="s">
        <v>500</v>
      </c>
      <c r="P324" s="86">
        <v>44020.378287037034</v>
      </c>
      <c r="Q324" s="84" t="s">
        <v>662</v>
      </c>
      <c r="R324" s="84"/>
      <c r="S324" s="84"/>
      <c r="T324" s="84"/>
      <c r="U324" s="84"/>
      <c r="V324" s="87" t="str">
        <f>HYPERLINK("http://pbs.twimg.com/profile_images/914368413673259009/gmggw-BO_normal.jpg")</f>
        <v>http://pbs.twimg.com/profile_images/914368413673259009/gmggw-BO_normal.jpg</v>
      </c>
      <c r="W324" s="86">
        <v>44020.378287037034</v>
      </c>
      <c r="X324" s="90">
        <v>44020</v>
      </c>
      <c r="Y324" s="92" t="s">
        <v>1071</v>
      </c>
      <c r="Z324" s="87" t="str">
        <f>HYPERLINK("https://twitter.com/magicalthorn/status/1280789906445316097")</f>
        <v>https://twitter.com/magicalthorn/status/1280789906445316097</v>
      </c>
      <c r="AA324" s="84"/>
      <c r="AB324" s="84"/>
      <c r="AC324" s="92" t="s">
        <v>1490</v>
      </c>
      <c r="AD324" s="84"/>
      <c r="AE324" s="84" t="b">
        <v>0</v>
      </c>
      <c r="AF324" s="84">
        <v>0</v>
      </c>
      <c r="AG324" s="92" t="s">
        <v>1724</v>
      </c>
      <c r="AH324" s="84" t="b">
        <v>0</v>
      </c>
      <c r="AI324" s="84" t="s">
        <v>1750</v>
      </c>
      <c r="AJ324" s="84"/>
      <c r="AK324" s="92" t="s">
        <v>1724</v>
      </c>
      <c r="AL324" s="84" t="b">
        <v>0</v>
      </c>
      <c r="AM324" s="84">
        <v>1</v>
      </c>
      <c r="AN324" s="92" t="s">
        <v>1587</v>
      </c>
      <c r="AO324" s="84" t="s">
        <v>1764</v>
      </c>
      <c r="AP324" s="84" t="b">
        <v>0</v>
      </c>
      <c r="AQ324" s="92" t="s">
        <v>1587</v>
      </c>
      <c r="AR324" s="84" t="s">
        <v>179</v>
      </c>
      <c r="AS324" s="84">
        <v>0</v>
      </c>
      <c r="AT324" s="84">
        <v>0</v>
      </c>
      <c r="AU324" s="84"/>
      <c r="AV324" s="84"/>
      <c r="AW324" s="84"/>
      <c r="AX324" s="84"/>
      <c r="AY324" s="84"/>
      <c r="AZ324" s="84"/>
      <c r="BA324" s="84"/>
      <c r="BB324" s="84"/>
    </row>
    <row r="325" spans="1:54" x14ac:dyDescent="0.2">
      <c r="A325" s="69" t="s">
        <v>409</v>
      </c>
      <c r="B325" s="69" t="s">
        <v>409</v>
      </c>
      <c r="C325" s="70"/>
      <c r="D325" s="71"/>
      <c r="E325" s="72"/>
      <c r="F325" s="73"/>
      <c r="G325" s="70"/>
      <c r="H325" s="74"/>
      <c r="I325" s="75"/>
      <c r="J325" s="75"/>
      <c r="K325" s="36"/>
      <c r="L325" s="82"/>
      <c r="M325" s="82"/>
      <c r="N325" s="77"/>
      <c r="O325" s="84" t="s">
        <v>179</v>
      </c>
      <c r="P325" s="86">
        <v>44020.362812500003</v>
      </c>
      <c r="Q325" s="84" t="s">
        <v>663</v>
      </c>
      <c r="R325" s="84"/>
      <c r="S325" s="84"/>
      <c r="T325" s="84" t="s">
        <v>781</v>
      </c>
      <c r="U325" s="84"/>
      <c r="V325" s="87" t="str">
        <f>HYPERLINK("http://pbs.twimg.com/profile_images/1236668333157519361/R8t7DbMO_normal.jpg")</f>
        <v>http://pbs.twimg.com/profile_images/1236668333157519361/R8t7DbMO_normal.jpg</v>
      </c>
      <c r="W325" s="86">
        <v>44020.362812500003</v>
      </c>
      <c r="X325" s="90">
        <v>44020</v>
      </c>
      <c r="Y325" s="92" t="s">
        <v>1167</v>
      </c>
      <c r="Z325" s="87" t="str">
        <f>HYPERLINK("https://twitter.com/sinxsan/status/1280784300833562624")</f>
        <v>https://twitter.com/sinxsan/status/1280784300833562624</v>
      </c>
      <c r="AA325" s="84"/>
      <c r="AB325" s="84"/>
      <c r="AC325" s="92" t="s">
        <v>1588</v>
      </c>
      <c r="AD325" s="92" t="s">
        <v>1587</v>
      </c>
      <c r="AE325" s="84" t="b">
        <v>0</v>
      </c>
      <c r="AF325" s="84">
        <v>5</v>
      </c>
      <c r="AG325" s="92" t="s">
        <v>1740</v>
      </c>
      <c r="AH325" s="84" t="b">
        <v>0</v>
      </c>
      <c r="AI325" s="84" t="s">
        <v>1750</v>
      </c>
      <c r="AJ325" s="84"/>
      <c r="AK325" s="92" t="s">
        <v>1724</v>
      </c>
      <c r="AL325" s="84" t="b">
        <v>0</v>
      </c>
      <c r="AM325" s="84">
        <v>1</v>
      </c>
      <c r="AN325" s="92" t="s">
        <v>1724</v>
      </c>
      <c r="AO325" s="84" t="s">
        <v>1763</v>
      </c>
      <c r="AP325" s="84" t="b">
        <v>0</v>
      </c>
      <c r="AQ325" s="92" t="s">
        <v>1587</v>
      </c>
      <c r="AR325" s="84" t="s">
        <v>179</v>
      </c>
      <c r="AS325" s="84">
        <v>0</v>
      </c>
      <c r="AT325" s="84">
        <v>0</v>
      </c>
      <c r="AU325" s="84"/>
      <c r="AV325" s="84"/>
      <c r="AW325" s="84"/>
      <c r="AX325" s="84"/>
      <c r="AY325" s="84"/>
      <c r="AZ325" s="84"/>
      <c r="BA325" s="84"/>
      <c r="BB325" s="84"/>
    </row>
    <row r="326" spans="1:54" x14ac:dyDescent="0.2">
      <c r="A326" s="69" t="s">
        <v>400</v>
      </c>
      <c r="B326" s="69" t="s">
        <v>400</v>
      </c>
      <c r="C326" s="70"/>
      <c r="D326" s="71"/>
      <c r="E326" s="72"/>
      <c r="F326" s="73"/>
      <c r="G326" s="70"/>
      <c r="H326" s="74"/>
      <c r="I326" s="75"/>
      <c r="J326" s="75"/>
      <c r="K326" s="36"/>
      <c r="L326" s="82"/>
      <c r="M326" s="82"/>
      <c r="N326" s="77"/>
      <c r="O326" s="84" t="s">
        <v>179</v>
      </c>
      <c r="P326" s="86">
        <v>44020.35428240741</v>
      </c>
      <c r="Q326" s="84" t="s">
        <v>586</v>
      </c>
      <c r="R326" s="87" t="str">
        <f>HYPERLINK("https://m.facebook.com/anunknownkraftsman")</f>
        <v>https://m.facebook.com/anunknownkraftsman</v>
      </c>
      <c r="S326" s="84" t="s">
        <v>772</v>
      </c>
      <c r="T326" s="84" t="s">
        <v>842</v>
      </c>
      <c r="U326" s="84"/>
      <c r="V326" s="87" t="str">
        <f>HYPERLINK("http://pbs.twimg.com/profile_images/1142556013167632391/vMubfzN-_normal.jpg")</f>
        <v>http://pbs.twimg.com/profile_images/1142556013167632391/vMubfzN-_normal.jpg</v>
      </c>
      <c r="W326" s="86">
        <v>44020.35428240741</v>
      </c>
      <c r="X326" s="90">
        <v>44020</v>
      </c>
      <c r="Y326" s="92" t="s">
        <v>1134</v>
      </c>
      <c r="Z326" s="87" t="str">
        <f>HYPERLINK("https://twitter.com/hc_mmoor1868/status/1280781206813097985")</f>
        <v>https://twitter.com/hc_mmoor1868/status/1280781206813097985</v>
      </c>
      <c r="AA326" s="84"/>
      <c r="AB326" s="84"/>
      <c r="AC326" s="92" t="s">
        <v>1553</v>
      </c>
      <c r="AD326" s="84"/>
      <c r="AE326" s="84" t="b">
        <v>0</v>
      </c>
      <c r="AF326" s="84">
        <v>0</v>
      </c>
      <c r="AG326" s="92" t="s">
        <v>1724</v>
      </c>
      <c r="AH326" s="84" t="b">
        <v>0</v>
      </c>
      <c r="AI326" s="84" t="s">
        <v>1751</v>
      </c>
      <c r="AJ326" s="84"/>
      <c r="AK326" s="92" t="s">
        <v>1724</v>
      </c>
      <c r="AL326" s="84" t="b">
        <v>0</v>
      </c>
      <c r="AM326" s="84">
        <v>0</v>
      </c>
      <c r="AN326" s="92" t="s">
        <v>1724</v>
      </c>
      <c r="AO326" s="84" t="s">
        <v>1783</v>
      </c>
      <c r="AP326" s="84" t="b">
        <v>0</v>
      </c>
      <c r="AQ326" s="92" t="s">
        <v>1553</v>
      </c>
      <c r="AR326" s="84" t="s">
        <v>179</v>
      </c>
      <c r="AS326" s="84">
        <v>0</v>
      </c>
      <c r="AT326" s="84">
        <v>0</v>
      </c>
      <c r="AU326" s="84"/>
      <c r="AV326" s="84"/>
      <c r="AW326" s="84"/>
      <c r="AX326" s="84"/>
      <c r="AY326" s="84"/>
      <c r="AZ326" s="84"/>
      <c r="BA326" s="84"/>
      <c r="BB326" s="84"/>
    </row>
    <row r="327" spans="1:54" x14ac:dyDescent="0.2">
      <c r="A327" s="69" t="s">
        <v>281</v>
      </c>
      <c r="B327" s="69" t="s">
        <v>470</v>
      </c>
      <c r="C327" s="70"/>
      <c r="D327" s="71"/>
      <c r="E327" s="72"/>
      <c r="F327" s="73"/>
      <c r="G327" s="70"/>
      <c r="H327" s="74"/>
      <c r="I327" s="75"/>
      <c r="J327" s="75"/>
      <c r="K327" s="36"/>
      <c r="L327" s="82"/>
      <c r="M327" s="82"/>
      <c r="N327" s="77"/>
      <c r="O327" s="84" t="s">
        <v>502</v>
      </c>
      <c r="P327" s="86">
        <v>44020.333449074074</v>
      </c>
      <c r="Q327" s="84" t="s">
        <v>559</v>
      </c>
      <c r="R327" s="84"/>
      <c r="S327" s="84"/>
      <c r="T327" s="84"/>
      <c r="U327" s="84"/>
      <c r="V327" s="87" t="str">
        <f>HYPERLINK("http://pbs.twimg.com/profile_images/1242888264090095619/JU80SGfY_normal.jpg")</f>
        <v>http://pbs.twimg.com/profile_images/1242888264090095619/JU80SGfY_normal.jpg</v>
      </c>
      <c r="W327" s="86">
        <v>44020.333449074074</v>
      </c>
      <c r="X327" s="90">
        <v>44020</v>
      </c>
      <c r="Y327" s="92" t="s">
        <v>943</v>
      </c>
      <c r="Z327" s="87" t="str">
        <f>HYPERLINK("https://twitter.com/pelopogo/status/1280773659834155011")</f>
        <v>https://twitter.com/pelopogo/status/1280773659834155011</v>
      </c>
      <c r="AA327" s="84"/>
      <c r="AB327" s="84"/>
      <c r="AC327" s="92" t="s">
        <v>1362</v>
      </c>
      <c r="AD327" s="84"/>
      <c r="AE327" s="84" t="b">
        <v>0</v>
      </c>
      <c r="AF327" s="84">
        <v>0</v>
      </c>
      <c r="AG327" s="92" t="s">
        <v>1724</v>
      </c>
      <c r="AH327" s="84" t="b">
        <v>0</v>
      </c>
      <c r="AI327" s="84" t="s">
        <v>1751</v>
      </c>
      <c r="AJ327" s="84"/>
      <c r="AK327" s="92" t="s">
        <v>1724</v>
      </c>
      <c r="AL327" s="84" t="b">
        <v>0</v>
      </c>
      <c r="AM327" s="84">
        <v>7</v>
      </c>
      <c r="AN327" s="92" t="s">
        <v>1360</v>
      </c>
      <c r="AO327" s="84" t="s">
        <v>1763</v>
      </c>
      <c r="AP327" s="84" t="b">
        <v>0</v>
      </c>
      <c r="AQ327" s="92" t="s">
        <v>1360</v>
      </c>
      <c r="AR327" s="84" t="s">
        <v>179</v>
      </c>
      <c r="AS327" s="84">
        <v>0</v>
      </c>
      <c r="AT327" s="84">
        <v>0</v>
      </c>
      <c r="AU327" s="84"/>
      <c r="AV327" s="84"/>
      <c r="AW327" s="84"/>
      <c r="AX327" s="84"/>
      <c r="AY327" s="84"/>
      <c r="AZ327" s="84"/>
      <c r="BA327" s="84"/>
      <c r="BB327" s="84"/>
    </row>
    <row r="328" spans="1:54" x14ac:dyDescent="0.2">
      <c r="A328" s="69" t="s">
        <v>281</v>
      </c>
      <c r="B328" s="69" t="s">
        <v>280</v>
      </c>
      <c r="C328" s="70"/>
      <c r="D328" s="71"/>
      <c r="E328" s="72"/>
      <c r="F328" s="73"/>
      <c r="G328" s="70"/>
      <c r="H328" s="74"/>
      <c r="I328" s="75"/>
      <c r="J328" s="75"/>
      <c r="K328" s="36"/>
      <c r="L328" s="82"/>
      <c r="M328" s="82"/>
      <c r="N328" s="77"/>
      <c r="O328" s="84" t="s">
        <v>500</v>
      </c>
      <c r="P328" s="86">
        <v>44020.333449074074</v>
      </c>
      <c r="Q328" s="84" t="s">
        <v>559</v>
      </c>
      <c r="R328" s="84"/>
      <c r="S328" s="84"/>
      <c r="T328" s="84"/>
      <c r="U328" s="84"/>
      <c r="V328" s="87" t="str">
        <f>HYPERLINK("http://pbs.twimg.com/profile_images/1242888264090095619/JU80SGfY_normal.jpg")</f>
        <v>http://pbs.twimg.com/profile_images/1242888264090095619/JU80SGfY_normal.jpg</v>
      </c>
      <c r="W328" s="86">
        <v>44020.333449074074</v>
      </c>
      <c r="X328" s="90">
        <v>44020</v>
      </c>
      <c r="Y328" s="92" t="s">
        <v>943</v>
      </c>
      <c r="Z328" s="87" t="str">
        <f>HYPERLINK("https://twitter.com/pelopogo/status/1280773659834155011")</f>
        <v>https://twitter.com/pelopogo/status/1280773659834155011</v>
      </c>
      <c r="AA328" s="84"/>
      <c r="AB328" s="84"/>
      <c r="AC328" s="92" t="s">
        <v>1362</v>
      </c>
      <c r="AD328" s="84"/>
      <c r="AE328" s="84" t="b">
        <v>0</v>
      </c>
      <c r="AF328" s="84">
        <v>0</v>
      </c>
      <c r="AG328" s="92" t="s">
        <v>1724</v>
      </c>
      <c r="AH328" s="84" t="b">
        <v>0</v>
      </c>
      <c r="AI328" s="84" t="s">
        <v>1751</v>
      </c>
      <c r="AJ328" s="84"/>
      <c r="AK328" s="92" t="s">
        <v>1724</v>
      </c>
      <c r="AL328" s="84" t="b">
        <v>0</v>
      </c>
      <c r="AM328" s="84">
        <v>7</v>
      </c>
      <c r="AN328" s="92" t="s">
        <v>1360</v>
      </c>
      <c r="AO328" s="84" t="s">
        <v>1763</v>
      </c>
      <c r="AP328" s="84" t="b">
        <v>0</v>
      </c>
      <c r="AQ328" s="92" t="s">
        <v>1360</v>
      </c>
      <c r="AR328" s="84" t="s">
        <v>179</v>
      </c>
      <c r="AS328" s="84">
        <v>0</v>
      </c>
      <c r="AT328" s="84">
        <v>0</v>
      </c>
      <c r="AU328" s="84"/>
      <c r="AV328" s="84"/>
      <c r="AW328" s="84"/>
      <c r="AX328" s="84"/>
      <c r="AY328" s="84"/>
      <c r="AZ328" s="84"/>
      <c r="BA328" s="84"/>
      <c r="BB328" s="84"/>
    </row>
    <row r="329" spans="1:54" x14ac:dyDescent="0.2">
      <c r="A329" s="69" t="s">
        <v>279</v>
      </c>
      <c r="B329" s="69" t="s">
        <v>279</v>
      </c>
      <c r="C329" s="70"/>
      <c r="D329" s="71"/>
      <c r="E329" s="72"/>
      <c r="F329" s="73"/>
      <c r="G329" s="70"/>
      <c r="H329" s="74"/>
      <c r="I329" s="75"/>
      <c r="J329" s="75"/>
      <c r="K329" s="36"/>
      <c r="L329" s="82"/>
      <c r="M329" s="82"/>
      <c r="N329" s="77"/>
      <c r="O329" s="84" t="s">
        <v>179</v>
      </c>
      <c r="P329" s="86">
        <v>44020.330567129633</v>
      </c>
      <c r="Q329" s="84" t="s">
        <v>563</v>
      </c>
      <c r="R329" s="84"/>
      <c r="S329" s="84"/>
      <c r="T329" s="84" t="s">
        <v>780</v>
      </c>
      <c r="U329" s="87" t="str">
        <f>HYPERLINK("https://pbs.twimg.com/media/EcY35mXUMAUTSni.jpg")</f>
        <v>https://pbs.twimg.com/media/EcY35mXUMAUTSni.jpg</v>
      </c>
      <c r="V329" s="87" t="str">
        <f>HYPERLINK("https://pbs.twimg.com/media/EcY35mXUMAUTSni.jpg")</f>
        <v>https://pbs.twimg.com/media/EcY35mXUMAUTSni.jpg</v>
      </c>
      <c r="W329" s="86">
        <v>44020.330567129633</v>
      </c>
      <c r="X329" s="90">
        <v>44020</v>
      </c>
      <c r="Y329" s="92" t="s">
        <v>940</v>
      </c>
      <c r="Z329" s="87" t="str">
        <f>HYPERLINK("https://twitter.com/snow_daifukuya/status/1280772612168155136")</f>
        <v>https://twitter.com/snow_daifukuya/status/1280772612168155136</v>
      </c>
      <c r="AA329" s="84"/>
      <c r="AB329" s="84"/>
      <c r="AC329" s="92" t="s">
        <v>1359</v>
      </c>
      <c r="AD329" s="84"/>
      <c r="AE329" s="84" t="b">
        <v>0</v>
      </c>
      <c r="AF329" s="84">
        <v>3</v>
      </c>
      <c r="AG329" s="92" t="s">
        <v>1724</v>
      </c>
      <c r="AH329" s="84" t="b">
        <v>0</v>
      </c>
      <c r="AI329" s="84" t="s">
        <v>1750</v>
      </c>
      <c r="AJ329" s="84"/>
      <c r="AK329" s="92" t="s">
        <v>1724</v>
      </c>
      <c r="AL329" s="84" t="b">
        <v>0</v>
      </c>
      <c r="AM329" s="84">
        <v>0</v>
      </c>
      <c r="AN329" s="92" t="s">
        <v>1724</v>
      </c>
      <c r="AO329" s="84" t="s">
        <v>1763</v>
      </c>
      <c r="AP329" s="84" t="b">
        <v>0</v>
      </c>
      <c r="AQ329" s="92" t="s">
        <v>1359</v>
      </c>
      <c r="AR329" s="84" t="s">
        <v>179</v>
      </c>
      <c r="AS329" s="84">
        <v>0</v>
      </c>
      <c r="AT329" s="84">
        <v>0</v>
      </c>
      <c r="AU329" s="84"/>
      <c r="AV329" s="84"/>
      <c r="AW329" s="84"/>
      <c r="AX329" s="84"/>
      <c r="AY329" s="84"/>
      <c r="AZ329" s="84"/>
      <c r="BA329" s="84"/>
      <c r="BB329" s="84"/>
    </row>
    <row r="330" spans="1:54" x14ac:dyDescent="0.2">
      <c r="A330" s="69" t="s">
        <v>278</v>
      </c>
      <c r="B330" s="69" t="s">
        <v>277</v>
      </c>
      <c r="C330" s="70"/>
      <c r="D330" s="71"/>
      <c r="E330" s="72"/>
      <c r="F330" s="73"/>
      <c r="G330" s="70"/>
      <c r="H330" s="74"/>
      <c r="I330" s="75"/>
      <c r="J330" s="75"/>
      <c r="K330" s="36"/>
      <c r="L330" s="82"/>
      <c r="M330" s="82"/>
      <c r="N330" s="77"/>
      <c r="O330" s="84" t="s">
        <v>500</v>
      </c>
      <c r="P330" s="86">
        <v>44020.281226851854</v>
      </c>
      <c r="Q330" s="84" t="s">
        <v>562</v>
      </c>
      <c r="R330" s="87" t="str">
        <f>HYPERLINK("https://metalitalia.com/articolo/wayfarer-in-studio-per-il-nuovo-album/")</f>
        <v>https://metalitalia.com/articolo/wayfarer-in-studio-per-il-nuovo-album/</v>
      </c>
      <c r="S330" s="84" t="s">
        <v>767</v>
      </c>
      <c r="T330" s="84" t="s">
        <v>781</v>
      </c>
      <c r="U330" s="87" t="str">
        <f t="shared" ref="U330:V332" si="7">HYPERLINK("https://pbs.twimg.com/media/EcYeilYWAAAxUr7.jpg")</f>
        <v>https://pbs.twimg.com/media/EcYeilYWAAAxUr7.jpg</v>
      </c>
      <c r="V330" s="87" t="str">
        <f t="shared" si="7"/>
        <v>https://pbs.twimg.com/media/EcYeilYWAAAxUr7.jpg</v>
      </c>
      <c r="W330" s="86">
        <v>44020.281226851854</v>
      </c>
      <c r="X330" s="90">
        <v>44020</v>
      </c>
      <c r="Y330" s="92" t="s">
        <v>939</v>
      </c>
      <c r="Z330" s="87" t="str">
        <f>HYPERLINK("https://twitter.com/riccardoventi10/status/1280754734228480001")</f>
        <v>https://twitter.com/riccardoventi10/status/1280754734228480001</v>
      </c>
      <c r="AA330" s="84"/>
      <c r="AB330" s="84"/>
      <c r="AC330" s="92" t="s">
        <v>1358</v>
      </c>
      <c r="AD330" s="84"/>
      <c r="AE330" s="84" t="b">
        <v>0</v>
      </c>
      <c r="AF330" s="84">
        <v>0</v>
      </c>
      <c r="AG330" s="92" t="s">
        <v>1724</v>
      </c>
      <c r="AH330" s="84" t="b">
        <v>0</v>
      </c>
      <c r="AI330" s="84" t="s">
        <v>1755</v>
      </c>
      <c r="AJ330" s="84"/>
      <c r="AK330" s="92" t="s">
        <v>1724</v>
      </c>
      <c r="AL330" s="84" t="b">
        <v>0</v>
      </c>
      <c r="AM330" s="84">
        <v>2</v>
      </c>
      <c r="AN330" s="92" t="s">
        <v>1357</v>
      </c>
      <c r="AO330" s="84" t="s">
        <v>1764</v>
      </c>
      <c r="AP330" s="84" t="b">
        <v>0</v>
      </c>
      <c r="AQ330" s="92" t="s">
        <v>1357</v>
      </c>
      <c r="AR330" s="84" t="s">
        <v>179</v>
      </c>
      <c r="AS330" s="84">
        <v>0</v>
      </c>
      <c r="AT330" s="84">
        <v>0</v>
      </c>
      <c r="AU330" s="84"/>
      <c r="AV330" s="84"/>
      <c r="AW330" s="84"/>
      <c r="AX330" s="84"/>
      <c r="AY330" s="84"/>
      <c r="AZ330" s="84"/>
      <c r="BA330" s="84"/>
      <c r="BB330" s="84"/>
    </row>
    <row r="331" spans="1:54" x14ac:dyDescent="0.2">
      <c r="A331" s="69" t="s">
        <v>276</v>
      </c>
      <c r="B331" s="69" t="s">
        <v>277</v>
      </c>
      <c r="C331" s="70"/>
      <c r="D331" s="71"/>
      <c r="E331" s="72"/>
      <c r="F331" s="73"/>
      <c r="G331" s="70"/>
      <c r="H331" s="74"/>
      <c r="I331" s="75"/>
      <c r="J331" s="75"/>
      <c r="K331" s="36"/>
      <c r="L331" s="82"/>
      <c r="M331" s="82"/>
      <c r="N331" s="77"/>
      <c r="O331" s="84" t="s">
        <v>500</v>
      </c>
      <c r="P331" s="86">
        <v>44020.26226851852</v>
      </c>
      <c r="Q331" s="84" t="s">
        <v>562</v>
      </c>
      <c r="R331" s="87" t="str">
        <f>HYPERLINK("https://metalitalia.com/articolo/wayfarer-in-studio-per-il-nuovo-album/")</f>
        <v>https://metalitalia.com/articolo/wayfarer-in-studio-per-il-nuovo-album/</v>
      </c>
      <c r="S331" s="84" t="s">
        <v>767</v>
      </c>
      <c r="T331" s="84" t="s">
        <v>781</v>
      </c>
      <c r="U331" s="87" t="str">
        <f t="shared" si="7"/>
        <v>https://pbs.twimg.com/media/EcYeilYWAAAxUr7.jpg</v>
      </c>
      <c r="V331" s="87" t="str">
        <f t="shared" si="7"/>
        <v>https://pbs.twimg.com/media/EcYeilYWAAAxUr7.jpg</v>
      </c>
      <c r="W331" s="86">
        <v>44020.26226851852</v>
      </c>
      <c r="X331" s="90">
        <v>44020</v>
      </c>
      <c r="Y331" s="92" t="s">
        <v>937</v>
      </c>
      <c r="Z331" s="87" t="str">
        <f>HYPERLINK("https://twitter.com/robygates95/status/1280747865619550209")</f>
        <v>https://twitter.com/robygates95/status/1280747865619550209</v>
      </c>
      <c r="AA331" s="84"/>
      <c r="AB331" s="84"/>
      <c r="AC331" s="92" t="s">
        <v>1356</v>
      </c>
      <c r="AD331" s="84"/>
      <c r="AE331" s="84" t="b">
        <v>0</v>
      </c>
      <c r="AF331" s="84">
        <v>0</v>
      </c>
      <c r="AG331" s="92" t="s">
        <v>1724</v>
      </c>
      <c r="AH331" s="84" t="b">
        <v>0</v>
      </c>
      <c r="AI331" s="84" t="s">
        <v>1755</v>
      </c>
      <c r="AJ331" s="84"/>
      <c r="AK331" s="92" t="s">
        <v>1724</v>
      </c>
      <c r="AL331" s="84" t="b">
        <v>0</v>
      </c>
      <c r="AM331" s="84">
        <v>2</v>
      </c>
      <c r="AN331" s="92" t="s">
        <v>1357</v>
      </c>
      <c r="AO331" s="84" t="s">
        <v>1764</v>
      </c>
      <c r="AP331" s="84" t="b">
        <v>0</v>
      </c>
      <c r="AQ331" s="92" t="s">
        <v>1357</v>
      </c>
      <c r="AR331" s="84" t="s">
        <v>179</v>
      </c>
      <c r="AS331" s="84">
        <v>0</v>
      </c>
      <c r="AT331" s="84">
        <v>0</v>
      </c>
      <c r="AU331" s="84"/>
      <c r="AV331" s="84"/>
      <c r="AW331" s="84"/>
      <c r="AX331" s="84"/>
      <c r="AY331" s="84"/>
      <c r="AZ331" s="84"/>
      <c r="BA331" s="84"/>
      <c r="BB331" s="84"/>
    </row>
    <row r="332" spans="1:54" x14ac:dyDescent="0.2">
      <c r="A332" s="69" t="s">
        <v>277</v>
      </c>
      <c r="B332" s="69" t="s">
        <v>277</v>
      </c>
      <c r="C332" s="70"/>
      <c r="D332" s="71"/>
      <c r="E332" s="72"/>
      <c r="F332" s="73"/>
      <c r="G332" s="70"/>
      <c r="H332" s="74"/>
      <c r="I332" s="75"/>
      <c r="J332" s="75"/>
      <c r="K332" s="36"/>
      <c r="L332" s="82"/>
      <c r="M332" s="82"/>
      <c r="N332" s="77"/>
      <c r="O332" s="84" t="s">
        <v>179</v>
      </c>
      <c r="P332" s="86">
        <v>44020.253611111111</v>
      </c>
      <c r="Q332" s="84" t="s">
        <v>562</v>
      </c>
      <c r="R332" s="87" t="str">
        <f>HYPERLINK("https://metalitalia.com/articolo/wayfarer-in-studio-per-il-nuovo-album/")</f>
        <v>https://metalitalia.com/articolo/wayfarer-in-studio-per-il-nuovo-album/</v>
      </c>
      <c r="S332" s="84" t="s">
        <v>767</v>
      </c>
      <c r="T332" s="84" t="s">
        <v>781</v>
      </c>
      <c r="U332" s="87" t="str">
        <f t="shared" si="7"/>
        <v>https://pbs.twimg.com/media/EcYeilYWAAAxUr7.jpg</v>
      </c>
      <c r="V332" s="87" t="str">
        <f t="shared" si="7"/>
        <v>https://pbs.twimg.com/media/EcYeilYWAAAxUr7.jpg</v>
      </c>
      <c r="W332" s="86">
        <v>44020.253611111111</v>
      </c>
      <c r="X332" s="90">
        <v>44020</v>
      </c>
      <c r="Y332" s="92" t="s">
        <v>938</v>
      </c>
      <c r="Z332" s="87" t="str">
        <f>HYPERLINK("https://twitter.com/metalitalia/status/1280744725142736896")</f>
        <v>https://twitter.com/metalitalia/status/1280744725142736896</v>
      </c>
      <c r="AA332" s="84"/>
      <c r="AB332" s="84"/>
      <c r="AC332" s="92" t="s">
        <v>1357</v>
      </c>
      <c r="AD332" s="84"/>
      <c r="AE332" s="84" t="b">
        <v>0</v>
      </c>
      <c r="AF332" s="84">
        <v>2</v>
      </c>
      <c r="AG332" s="92" t="s">
        <v>1724</v>
      </c>
      <c r="AH332" s="84" t="b">
        <v>0</v>
      </c>
      <c r="AI332" s="84" t="s">
        <v>1755</v>
      </c>
      <c r="AJ332" s="84"/>
      <c r="AK332" s="92" t="s">
        <v>1724</v>
      </c>
      <c r="AL332" s="84" t="b">
        <v>0</v>
      </c>
      <c r="AM332" s="84">
        <v>2</v>
      </c>
      <c r="AN332" s="92" t="s">
        <v>1724</v>
      </c>
      <c r="AO332" s="84" t="s">
        <v>1774</v>
      </c>
      <c r="AP332" s="84" t="b">
        <v>0</v>
      </c>
      <c r="AQ332" s="92" t="s">
        <v>1357</v>
      </c>
      <c r="AR332" s="84" t="s">
        <v>179</v>
      </c>
      <c r="AS332" s="84">
        <v>0</v>
      </c>
      <c r="AT332" s="84">
        <v>0</v>
      </c>
      <c r="AU332" s="84"/>
      <c r="AV332" s="84"/>
      <c r="AW332" s="84"/>
      <c r="AX332" s="84"/>
      <c r="AY332" s="84"/>
      <c r="AZ332" s="84"/>
      <c r="BA332" s="84"/>
      <c r="BB332" s="84"/>
    </row>
    <row r="333" spans="1:54" x14ac:dyDescent="0.2">
      <c r="A333" s="69" t="s">
        <v>275</v>
      </c>
      <c r="B333" s="69" t="s">
        <v>409</v>
      </c>
      <c r="C333" s="70"/>
      <c r="D333" s="71"/>
      <c r="E333" s="72"/>
      <c r="F333" s="73"/>
      <c r="G333" s="70"/>
      <c r="H333" s="74"/>
      <c r="I333" s="75"/>
      <c r="J333" s="75"/>
      <c r="K333" s="36"/>
      <c r="L333" s="82"/>
      <c r="M333" s="82"/>
      <c r="N333" s="77"/>
      <c r="O333" s="84" t="s">
        <v>500</v>
      </c>
      <c r="P333" s="86">
        <v>44020.129305555558</v>
      </c>
      <c r="Q333" s="84" t="s">
        <v>561</v>
      </c>
      <c r="R333" s="84"/>
      <c r="S333" s="84"/>
      <c r="T333" s="84" t="s">
        <v>781</v>
      </c>
      <c r="U333" s="84"/>
      <c r="V333" s="87" t="str">
        <f>HYPERLINK("http://pbs.twimg.com/profile_images/1265597806430965760/MQCYegdO_normal.jpg")</f>
        <v>http://pbs.twimg.com/profile_images/1265597806430965760/MQCYegdO_normal.jpg</v>
      </c>
      <c r="W333" s="86">
        <v>44020.129305555558</v>
      </c>
      <c r="X333" s="90">
        <v>44020</v>
      </c>
      <c r="Y333" s="92" t="s">
        <v>936</v>
      </c>
      <c r="Z333" s="87" t="str">
        <f>HYPERLINK("https://twitter.com/tokiwailm/status/1280699680817426432")</f>
        <v>https://twitter.com/tokiwailm/status/1280699680817426432</v>
      </c>
      <c r="AA333" s="84"/>
      <c r="AB333" s="84"/>
      <c r="AC333" s="92" t="s">
        <v>1355</v>
      </c>
      <c r="AD333" s="84"/>
      <c r="AE333" s="84" t="b">
        <v>0</v>
      </c>
      <c r="AF333" s="84">
        <v>0</v>
      </c>
      <c r="AG333" s="92" t="s">
        <v>1724</v>
      </c>
      <c r="AH333" s="84" t="b">
        <v>0</v>
      </c>
      <c r="AI333" s="84" t="s">
        <v>1750</v>
      </c>
      <c r="AJ333" s="84"/>
      <c r="AK333" s="92" t="s">
        <v>1724</v>
      </c>
      <c r="AL333" s="84" t="b">
        <v>0</v>
      </c>
      <c r="AM333" s="84">
        <v>1</v>
      </c>
      <c r="AN333" s="92" t="s">
        <v>1586</v>
      </c>
      <c r="AO333" s="84" t="s">
        <v>1764</v>
      </c>
      <c r="AP333" s="84" t="b">
        <v>0</v>
      </c>
      <c r="AQ333" s="92" t="s">
        <v>1586</v>
      </c>
      <c r="AR333" s="84" t="s">
        <v>179</v>
      </c>
      <c r="AS333" s="84">
        <v>0</v>
      </c>
      <c r="AT333" s="84">
        <v>0</v>
      </c>
      <c r="AU333" s="84"/>
      <c r="AV333" s="84"/>
      <c r="AW333" s="84"/>
      <c r="AX333" s="84"/>
      <c r="AY333" s="84"/>
      <c r="AZ333" s="84"/>
      <c r="BA333" s="84"/>
      <c r="BB333" s="84"/>
    </row>
    <row r="334" spans="1:54" x14ac:dyDescent="0.2">
      <c r="A334" s="69" t="s">
        <v>274</v>
      </c>
      <c r="B334" s="69" t="s">
        <v>274</v>
      </c>
      <c r="C334" s="70"/>
      <c r="D334" s="71"/>
      <c r="E334" s="72"/>
      <c r="F334" s="73"/>
      <c r="G334" s="70"/>
      <c r="H334" s="74"/>
      <c r="I334" s="75"/>
      <c r="J334" s="75"/>
      <c r="K334" s="36"/>
      <c r="L334" s="82"/>
      <c r="M334" s="82"/>
      <c r="N334" s="77"/>
      <c r="O334" s="84" t="s">
        <v>179</v>
      </c>
      <c r="P334" s="86">
        <v>44020.121180555558</v>
      </c>
      <c r="Q334" s="84" t="s">
        <v>560</v>
      </c>
      <c r="R334" s="84"/>
      <c r="S334" s="84"/>
      <c r="T334" s="84" t="s">
        <v>805</v>
      </c>
      <c r="U334" s="87" t="str">
        <f>HYPERLINK("https://pbs.twimg.com/media/EcXuAVYWoAAajJh.jpg")</f>
        <v>https://pbs.twimg.com/media/EcXuAVYWoAAajJh.jpg</v>
      </c>
      <c r="V334" s="87" t="str">
        <f>HYPERLINK("https://pbs.twimg.com/media/EcXuAVYWoAAajJh.jpg")</f>
        <v>https://pbs.twimg.com/media/EcXuAVYWoAAajJh.jpg</v>
      </c>
      <c r="W334" s="86">
        <v>44020.121180555558</v>
      </c>
      <c r="X334" s="90">
        <v>44020</v>
      </c>
      <c r="Y334" s="92" t="s">
        <v>935</v>
      </c>
      <c r="Z334" s="87" t="str">
        <f>HYPERLINK("https://twitter.com/jeffreyb777/status/1280696734725914625")</f>
        <v>https://twitter.com/jeffreyb777/status/1280696734725914625</v>
      </c>
      <c r="AA334" s="84"/>
      <c r="AB334" s="84"/>
      <c r="AC334" s="92" t="s">
        <v>1354</v>
      </c>
      <c r="AD334" s="84"/>
      <c r="AE334" s="84" t="b">
        <v>0</v>
      </c>
      <c r="AF334" s="84">
        <v>6</v>
      </c>
      <c r="AG334" s="92" t="s">
        <v>1724</v>
      </c>
      <c r="AH334" s="84" t="b">
        <v>0</v>
      </c>
      <c r="AI334" s="84" t="s">
        <v>1751</v>
      </c>
      <c r="AJ334" s="84"/>
      <c r="AK334" s="92" t="s">
        <v>1724</v>
      </c>
      <c r="AL334" s="84" t="b">
        <v>0</v>
      </c>
      <c r="AM334" s="84">
        <v>0</v>
      </c>
      <c r="AN334" s="92" t="s">
        <v>1724</v>
      </c>
      <c r="AO334" s="84" t="s">
        <v>1766</v>
      </c>
      <c r="AP334" s="84" t="b">
        <v>0</v>
      </c>
      <c r="AQ334" s="92" t="s">
        <v>1354</v>
      </c>
      <c r="AR334" s="84" t="s">
        <v>179</v>
      </c>
      <c r="AS334" s="84">
        <v>0</v>
      </c>
      <c r="AT334" s="84">
        <v>0</v>
      </c>
      <c r="AU334" s="84"/>
      <c r="AV334" s="84"/>
      <c r="AW334" s="84"/>
      <c r="AX334" s="84"/>
      <c r="AY334" s="84"/>
      <c r="AZ334" s="84"/>
      <c r="BA334" s="84"/>
      <c r="BB334" s="84"/>
    </row>
    <row r="335" spans="1:54" x14ac:dyDescent="0.2">
      <c r="A335" s="69" t="s">
        <v>273</v>
      </c>
      <c r="B335" s="69" t="s">
        <v>470</v>
      </c>
      <c r="C335" s="70"/>
      <c r="D335" s="71"/>
      <c r="E335" s="72"/>
      <c r="F335" s="73"/>
      <c r="G335" s="70"/>
      <c r="H335" s="74"/>
      <c r="I335" s="75"/>
      <c r="J335" s="75"/>
      <c r="K335" s="36"/>
      <c r="L335" s="82"/>
      <c r="M335" s="82"/>
      <c r="N335" s="77"/>
      <c r="O335" s="84" t="s">
        <v>502</v>
      </c>
      <c r="P335" s="86">
        <v>44020.113877314812</v>
      </c>
      <c r="Q335" s="84" t="s">
        <v>559</v>
      </c>
      <c r="R335" s="84"/>
      <c r="S335" s="84"/>
      <c r="T335" s="84"/>
      <c r="U335" s="84"/>
      <c r="V335" s="87" t="str">
        <f>HYPERLINK("http://pbs.twimg.com/profile_images/1267580249237188608/9-DPcJI-_normal.jpg")</f>
        <v>http://pbs.twimg.com/profile_images/1267580249237188608/9-DPcJI-_normal.jpg</v>
      </c>
      <c r="W335" s="86">
        <v>44020.113877314812</v>
      </c>
      <c r="X335" s="90">
        <v>44020</v>
      </c>
      <c r="Y335" s="92" t="s">
        <v>934</v>
      </c>
      <c r="Z335" s="87" t="str">
        <f>HYPERLINK("https://twitter.com/arhyxz/status/1280694087486779392")</f>
        <v>https://twitter.com/arhyxz/status/1280694087486779392</v>
      </c>
      <c r="AA335" s="84"/>
      <c r="AB335" s="84"/>
      <c r="AC335" s="92" t="s">
        <v>1353</v>
      </c>
      <c r="AD335" s="84"/>
      <c r="AE335" s="84" t="b">
        <v>0</v>
      </c>
      <c r="AF335" s="84">
        <v>0</v>
      </c>
      <c r="AG335" s="92" t="s">
        <v>1724</v>
      </c>
      <c r="AH335" s="84" t="b">
        <v>0</v>
      </c>
      <c r="AI335" s="84" t="s">
        <v>1751</v>
      </c>
      <c r="AJ335" s="84"/>
      <c r="AK335" s="92" t="s">
        <v>1724</v>
      </c>
      <c r="AL335" s="84" t="b">
        <v>0</v>
      </c>
      <c r="AM335" s="84">
        <v>7</v>
      </c>
      <c r="AN335" s="92" t="s">
        <v>1360</v>
      </c>
      <c r="AO335" s="84" t="s">
        <v>1764</v>
      </c>
      <c r="AP335" s="84" t="b">
        <v>0</v>
      </c>
      <c r="AQ335" s="92" t="s">
        <v>1360</v>
      </c>
      <c r="AR335" s="84" t="s">
        <v>179</v>
      </c>
      <c r="AS335" s="84">
        <v>0</v>
      </c>
      <c r="AT335" s="84">
        <v>0</v>
      </c>
      <c r="AU335" s="84"/>
      <c r="AV335" s="84"/>
      <c r="AW335" s="84"/>
      <c r="AX335" s="84"/>
      <c r="AY335" s="84"/>
      <c r="AZ335" s="84"/>
      <c r="BA335" s="84"/>
      <c r="BB335" s="84"/>
    </row>
    <row r="336" spans="1:54" x14ac:dyDescent="0.2">
      <c r="A336" s="69" t="s">
        <v>273</v>
      </c>
      <c r="B336" s="69" t="s">
        <v>281</v>
      </c>
      <c r="C336" s="70"/>
      <c r="D336" s="71"/>
      <c r="E336" s="72"/>
      <c r="F336" s="73"/>
      <c r="G336" s="70"/>
      <c r="H336" s="74"/>
      <c r="I336" s="75"/>
      <c r="J336" s="75"/>
      <c r="K336" s="36"/>
      <c r="L336" s="82"/>
      <c r="M336" s="82"/>
      <c r="N336" s="77"/>
      <c r="O336" s="84" t="s">
        <v>502</v>
      </c>
      <c r="P336" s="86">
        <v>44020.113877314812</v>
      </c>
      <c r="Q336" s="84" t="s">
        <v>559</v>
      </c>
      <c r="R336" s="84"/>
      <c r="S336" s="84"/>
      <c r="T336" s="84"/>
      <c r="U336" s="84"/>
      <c r="V336" s="87" t="str">
        <f>HYPERLINK("http://pbs.twimg.com/profile_images/1267580249237188608/9-DPcJI-_normal.jpg")</f>
        <v>http://pbs.twimg.com/profile_images/1267580249237188608/9-DPcJI-_normal.jpg</v>
      </c>
      <c r="W336" s="86">
        <v>44020.113877314812</v>
      </c>
      <c r="X336" s="90">
        <v>44020</v>
      </c>
      <c r="Y336" s="92" t="s">
        <v>934</v>
      </c>
      <c r="Z336" s="87" t="str">
        <f>HYPERLINK("https://twitter.com/arhyxz/status/1280694087486779392")</f>
        <v>https://twitter.com/arhyxz/status/1280694087486779392</v>
      </c>
      <c r="AA336" s="84"/>
      <c r="AB336" s="84"/>
      <c r="AC336" s="92" t="s">
        <v>1353</v>
      </c>
      <c r="AD336" s="84"/>
      <c r="AE336" s="84" t="b">
        <v>0</v>
      </c>
      <c r="AF336" s="84">
        <v>0</v>
      </c>
      <c r="AG336" s="92" t="s">
        <v>1724</v>
      </c>
      <c r="AH336" s="84" t="b">
        <v>0</v>
      </c>
      <c r="AI336" s="84" t="s">
        <v>1751</v>
      </c>
      <c r="AJ336" s="84"/>
      <c r="AK336" s="92" t="s">
        <v>1724</v>
      </c>
      <c r="AL336" s="84" t="b">
        <v>0</v>
      </c>
      <c r="AM336" s="84">
        <v>7</v>
      </c>
      <c r="AN336" s="92" t="s">
        <v>1360</v>
      </c>
      <c r="AO336" s="84" t="s">
        <v>1764</v>
      </c>
      <c r="AP336" s="84" t="b">
        <v>0</v>
      </c>
      <c r="AQ336" s="92" t="s">
        <v>1360</v>
      </c>
      <c r="AR336" s="84" t="s">
        <v>179</v>
      </c>
      <c r="AS336" s="84">
        <v>0</v>
      </c>
      <c r="AT336" s="84">
        <v>0</v>
      </c>
      <c r="AU336" s="84"/>
      <c r="AV336" s="84"/>
      <c r="AW336" s="84"/>
      <c r="AX336" s="84"/>
      <c r="AY336" s="84"/>
      <c r="AZ336" s="84"/>
      <c r="BA336" s="84"/>
      <c r="BB336" s="84"/>
    </row>
    <row r="337" spans="1:54" x14ac:dyDescent="0.2">
      <c r="A337" s="69" t="s">
        <v>273</v>
      </c>
      <c r="B337" s="69" t="s">
        <v>280</v>
      </c>
      <c r="C337" s="70"/>
      <c r="D337" s="71"/>
      <c r="E337" s="72"/>
      <c r="F337" s="73"/>
      <c r="G337" s="70"/>
      <c r="H337" s="74"/>
      <c r="I337" s="75"/>
      <c r="J337" s="75"/>
      <c r="K337" s="36"/>
      <c r="L337" s="82"/>
      <c r="M337" s="82"/>
      <c r="N337" s="77"/>
      <c r="O337" s="84" t="s">
        <v>500</v>
      </c>
      <c r="P337" s="86">
        <v>44020.113877314812</v>
      </c>
      <c r="Q337" s="84" t="s">
        <v>559</v>
      </c>
      <c r="R337" s="84"/>
      <c r="S337" s="84"/>
      <c r="T337" s="84"/>
      <c r="U337" s="84"/>
      <c r="V337" s="87" t="str">
        <f>HYPERLINK("http://pbs.twimg.com/profile_images/1267580249237188608/9-DPcJI-_normal.jpg")</f>
        <v>http://pbs.twimg.com/profile_images/1267580249237188608/9-DPcJI-_normal.jpg</v>
      </c>
      <c r="W337" s="86">
        <v>44020.113877314812</v>
      </c>
      <c r="X337" s="90">
        <v>44020</v>
      </c>
      <c r="Y337" s="92" t="s">
        <v>934</v>
      </c>
      <c r="Z337" s="87" t="str">
        <f>HYPERLINK("https://twitter.com/arhyxz/status/1280694087486779392")</f>
        <v>https://twitter.com/arhyxz/status/1280694087486779392</v>
      </c>
      <c r="AA337" s="84"/>
      <c r="AB337" s="84"/>
      <c r="AC337" s="92" t="s">
        <v>1353</v>
      </c>
      <c r="AD337" s="84"/>
      <c r="AE337" s="84" t="b">
        <v>0</v>
      </c>
      <c r="AF337" s="84">
        <v>0</v>
      </c>
      <c r="AG337" s="92" t="s">
        <v>1724</v>
      </c>
      <c r="AH337" s="84" t="b">
        <v>0</v>
      </c>
      <c r="AI337" s="84" t="s">
        <v>1751</v>
      </c>
      <c r="AJ337" s="84"/>
      <c r="AK337" s="92" t="s">
        <v>1724</v>
      </c>
      <c r="AL337" s="84" t="b">
        <v>0</v>
      </c>
      <c r="AM337" s="84">
        <v>7</v>
      </c>
      <c r="AN337" s="92" t="s">
        <v>1360</v>
      </c>
      <c r="AO337" s="84" t="s">
        <v>1764</v>
      </c>
      <c r="AP337" s="84" t="b">
        <v>0</v>
      </c>
      <c r="AQ337" s="92" t="s">
        <v>1360</v>
      </c>
      <c r="AR337" s="84" t="s">
        <v>179</v>
      </c>
      <c r="AS337" s="84">
        <v>0</v>
      </c>
      <c r="AT337" s="84">
        <v>0</v>
      </c>
      <c r="AU337" s="84"/>
      <c r="AV337" s="84"/>
      <c r="AW337" s="84"/>
      <c r="AX337" s="84"/>
      <c r="AY337" s="84"/>
      <c r="AZ337" s="84"/>
      <c r="BA337" s="84"/>
      <c r="BB337" s="84"/>
    </row>
    <row r="338" spans="1:54" x14ac:dyDescent="0.2">
      <c r="A338" s="69" t="s">
        <v>272</v>
      </c>
      <c r="B338" s="69" t="s">
        <v>470</v>
      </c>
      <c r="C338" s="70"/>
      <c r="D338" s="71"/>
      <c r="E338" s="72"/>
      <c r="F338" s="73"/>
      <c r="G338" s="70"/>
      <c r="H338" s="74"/>
      <c r="I338" s="75"/>
      <c r="J338" s="75"/>
      <c r="K338" s="36"/>
      <c r="L338" s="82"/>
      <c r="M338" s="82"/>
      <c r="N338" s="77"/>
      <c r="O338" s="84" t="s">
        <v>502</v>
      </c>
      <c r="P338" s="86">
        <v>44020.105983796297</v>
      </c>
      <c r="Q338" s="84" t="s">
        <v>559</v>
      </c>
      <c r="R338" s="84"/>
      <c r="S338" s="84"/>
      <c r="T338" s="84"/>
      <c r="U338" s="84"/>
      <c r="V338" s="87" t="str">
        <f>HYPERLINK("http://pbs.twimg.com/profile_images/1278212761571528705/OoNOvDqe_normal.jpg")</f>
        <v>http://pbs.twimg.com/profile_images/1278212761571528705/OoNOvDqe_normal.jpg</v>
      </c>
      <c r="W338" s="86">
        <v>44020.105983796297</v>
      </c>
      <c r="X338" s="90">
        <v>44020</v>
      </c>
      <c r="Y338" s="92" t="s">
        <v>933</v>
      </c>
      <c r="Z338" s="87" t="str">
        <f>HYPERLINK("https://twitter.com/gobarreras/status/1280691228204576768")</f>
        <v>https://twitter.com/gobarreras/status/1280691228204576768</v>
      </c>
      <c r="AA338" s="84"/>
      <c r="AB338" s="84"/>
      <c r="AC338" s="92" t="s">
        <v>1352</v>
      </c>
      <c r="AD338" s="84"/>
      <c r="AE338" s="84" t="b">
        <v>0</v>
      </c>
      <c r="AF338" s="84">
        <v>0</v>
      </c>
      <c r="AG338" s="92" t="s">
        <v>1724</v>
      </c>
      <c r="AH338" s="84" t="b">
        <v>0</v>
      </c>
      <c r="AI338" s="84" t="s">
        <v>1751</v>
      </c>
      <c r="AJ338" s="84"/>
      <c r="AK338" s="92" t="s">
        <v>1724</v>
      </c>
      <c r="AL338" s="84" t="b">
        <v>0</v>
      </c>
      <c r="AM338" s="84">
        <v>7</v>
      </c>
      <c r="AN338" s="92" t="s">
        <v>1360</v>
      </c>
      <c r="AO338" s="84" t="s">
        <v>1764</v>
      </c>
      <c r="AP338" s="84" t="b">
        <v>0</v>
      </c>
      <c r="AQ338" s="92" t="s">
        <v>1360</v>
      </c>
      <c r="AR338" s="84" t="s">
        <v>179</v>
      </c>
      <c r="AS338" s="84">
        <v>0</v>
      </c>
      <c r="AT338" s="84">
        <v>0</v>
      </c>
      <c r="AU338" s="84"/>
      <c r="AV338" s="84"/>
      <c r="AW338" s="84"/>
      <c r="AX338" s="84"/>
      <c r="AY338" s="84"/>
      <c r="AZ338" s="84"/>
      <c r="BA338" s="84"/>
      <c r="BB338" s="84"/>
    </row>
    <row r="339" spans="1:54" x14ac:dyDescent="0.2">
      <c r="A339" s="69" t="s">
        <v>272</v>
      </c>
      <c r="B339" s="69" t="s">
        <v>281</v>
      </c>
      <c r="C339" s="70"/>
      <c r="D339" s="71"/>
      <c r="E339" s="72"/>
      <c r="F339" s="73"/>
      <c r="G339" s="70"/>
      <c r="H339" s="74"/>
      <c r="I339" s="75"/>
      <c r="J339" s="75"/>
      <c r="K339" s="36"/>
      <c r="L339" s="82"/>
      <c r="M339" s="82"/>
      <c r="N339" s="77"/>
      <c r="O339" s="84" t="s">
        <v>502</v>
      </c>
      <c r="P339" s="86">
        <v>44020.105983796297</v>
      </c>
      <c r="Q339" s="84" t="s">
        <v>559</v>
      </c>
      <c r="R339" s="84"/>
      <c r="S339" s="84"/>
      <c r="T339" s="84"/>
      <c r="U339" s="84"/>
      <c r="V339" s="87" t="str">
        <f>HYPERLINK("http://pbs.twimg.com/profile_images/1278212761571528705/OoNOvDqe_normal.jpg")</f>
        <v>http://pbs.twimg.com/profile_images/1278212761571528705/OoNOvDqe_normal.jpg</v>
      </c>
      <c r="W339" s="86">
        <v>44020.105983796297</v>
      </c>
      <c r="X339" s="90">
        <v>44020</v>
      </c>
      <c r="Y339" s="92" t="s">
        <v>933</v>
      </c>
      <c r="Z339" s="87" t="str">
        <f>HYPERLINK("https://twitter.com/gobarreras/status/1280691228204576768")</f>
        <v>https://twitter.com/gobarreras/status/1280691228204576768</v>
      </c>
      <c r="AA339" s="84"/>
      <c r="AB339" s="84"/>
      <c r="AC339" s="92" t="s">
        <v>1352</v>
      </c>
      <c r="AD339" s="84"/>
      <c r="AE339" s="84" t="b">
        <v>0</v>
      </c>
      <c r="AF339" s="84">
        <v>0</v>
      </c>
      <c r="AG339" s="92" t="s">
        <v>1724</v>
      </c>
      <c r="AH339" s="84" t="b">
        <v>0</v>
      </c>
      <c r="AI339" s="84" t="s">
        <v>1751</v>
      </c>
      <c r="AJ339" s="84"/>
      <c r="AK339" s="92" t="s">
        <v>1724</v>
      </c>
      <c r="AL339" s="84" t="b">
        <v>0</v>
      </c>
      <c r="AM339" s="84">
        <v>7</v>
      </c>
      <c r="AN339" s="92" t="s">
        <v>1360</v>
      </c>
      <c r="AO339" s="84" t="s">
        <v>1764</v>
      </c>
      <c r="AP339" s="84" t="b">
        <v>0</v>
      </c>
      <c r="AQ339" s="92" t="s">
        <v>1360</v>
      </c>
      <c r="AR339" s="84" t="s">
        <v>179</v>
      </c>
      <c r="AS339" s="84">
        <v>0</v>
      </c>
      <c r="AT339" s="84">
        <v>0</v>
      </c>
      <c r="AU339" s="84"/>
      <c r="AV339" s="84"/>
      <c r="AW339" s="84"/>
      <c r="AX339" s="84"/>
      <c r="AY339" s="84"/>
      <c r="AZ339" s="84"/>
      <c r="BA339" s="84"/>
      <c r="BB339" s="84"/>
    </row>
    <row r="340" spans="1:54" x14ac:dyDescent="0.2">
      <c r="A340" s="69" t="s">
        <v>272</v>
      </c>
      <c r="B340" s="69" t="s">
        <v>280</v>
      </c>
      <c r="C340" s="70"/>
      <c r="D340" s="71"/>
      <c r="E340" s="72"/>
      <c r="F340" s="73"/>
      <c r="G340" s="70"/>
      <c r="H340" s="74"/>
      <c r="I340" s="75"/>
      <c r="J340" s="75"/>
      <c r="K340" s="36"/>
      <c r="L340" s="82"/>
      <c r="M340" s="82"/>
      <c r="N340" s="77"/>
      <c r="O340" s="84" t="s">
        <v>500</v>
      </c>
      <c r="P340" s="86">
        <v>44020.105983796297</v>
      </c>
      <c r="Q340" s="84" t="s">
        <v>559</v>
      </c>
      <c r="R340" s="84"/>
      <c r="S340" s="84"/>
      <c r="T340" s="84"/>
      <c r="U340" s="84"/>
      <c r="V340" s="87" t="str">
        <f>HYPERLINK("http://pbs.twimg.com/profile_images/1278212761571528705/OoNOvDqe_normal.jpg")</f>
        <v>http://pbs.twimg.com/profile_images/1278212761571528705/OoNOvDqe_normal.jpg</v>
      </c>
      <c r="W340" s="86">
        <v>44020.105983796297</v>
      </c>
      <c r="X340" s="90">
        <v>44020</v>
      </c>
      <c r="Y340" s="92" t="s">
        <v>933</v>
      </c>
      <c r="Z340" s="87" t="str">
        <f>HYPERLINK("https://twitter.com/gobarreras/status/1280691228204576768")</f>
        <v>https://twitter.com/gobarreras/status/1280691228204576768</v>
      </c>
      <c r="AA340" s="84"/>
      <c r="AB340" s="84"/>
      <c r="AC340" s="92" t="s">
        <v>1352</v>
      </c>
      <c r="AD340" s="84"/>
      <c r="AE340" s="84" t="b">
        <v>0</v>
      </c>
      <c r="AF340" s="84">
        <v>0</v>
      </c>
      <c r="AG340" s="92" t="s">
        <v>1724</v>
      </c>
      <c r="AH340" s="84" t="b">
        <v>0</v>
      </c>
      <c r="AI340" s="84" t="s">
        <v>1751</v>
      </c>
      <c r="AJ340" s="84"/>
      <c r="AK340" s="92" t="s">
        <v>1724</v>
      </c>
      <c r="AL340" s="84" t="b">
        <v>0</v>
      </c>
      <c r="AM340" s="84">
        <v>7</v>
      </c>
      <c r="AN340" s="92" t="s">
        <v>1360</v>
      </c>
      <c r="AO340" s="84" t="s">
        <v>1764</v>
      </c>
      <c r="AP340" s="84" t="b">
        <v>0</v>
      </c>
      <c r="AQ340" s="92" t="s">
        <v>1360</v>
      </c>
      <c r="AR340" s="84" t="s">
        <v>179</v>
      </c>
      <c r="AS340" s="84">
        <v>0</v>
      </c>
      <c r="AT340" s="84">
        <v>0</v>
      </c>
      <c r="AU340" s="84"/>
      <c r="AV340" s="84"/>
      <c r="AW340" s="84"/>
      <c r="AX340" s="84"/>
      <c r="AY340" s="84"/>
      <c r="AZ340" s="84"/>
      <c r="BA340" s="84"/>
      <c r="BB340" s="84"/>
    </row>
    <row r="341" spans="1:54" x14ac:dyDescent="0.2">
      <c r="A341" s="69" t="s">
        <v>271</v>
      </c>
      <c r="B341" s="69" t="s">
        <v>470</v>
      </c>
      <c r="C341" s="70"/>
      <c r="D341" s="71"/>
      <c r="E341" s="72"/>
      <c r="F341" s="73"/>
      <c r="G341" s="70"/>
      <c r="H341" s="74"/>
      <c r="I341" s="75"/>
      <c r="J341" s="75"/>
      <c r="K341" s="36"/>
      <c r="L341" s="82"/>
      <c r="M341" s="82"/>
      <c r="N341" s="77"/>
      <c r="O341" s="84" t="s">
        <v>502</v>
      </c>
      <c r="P341" s="86">
        <v>44020.088159722225</v>
      </c>
      <c r="Q341" s="84" t="s">
        <v>559</v>
      </c>
      <c r="R341" s="84"/>
      <c r="S341" s="84"/>
      <c r="T341" s="84"/>
      <c r="U341" s="84"/>
      <c r="V341" s="87" t="str">
        <f>HYPERLINK("http://pbs.twimg.com/profile_images/1280619484131340295/dYEZ0q1Q_normal.jpg")</f>
        <v>http://pbs.twimg.com/profile_images/1280619484131340295/dYEZ0q1Q_normal.jpg</v>
      </c>
      <c r="W341" s="86">
        <v>44020.088159722225</v>
      </c>
      <c r="X341" s="90">
        <v>44020</v>
      </c>
      <c r="Y341" s="92" t="s">
        <v>932</v>
      </c>
      <c r="Z341" s="87" t="str">
        <f>HYPERLINK("https://twitter.com/legendslima/status/1280684767969714176")</f>
        <v>https://twitter.com/legendslima/status/1280684767969714176</v>
      </c>
      <c r="AA341" s="84"/>
      <c r="AB341" s="84"/>
      <c r="AC341" s="92" t="s">
        <v>1351</v>
      </c>
      <c r="AD341" s="84"/>
      <c r="AE341" s="84" t="b">
        <v>0</v>
      </c>
      <c r="AF341" s="84">
        <v>0</v>
      </c>
      <c r="AG341" s="92" t="s">
        <v>1724</v>
      </c>
      <c r="AH341" s="84" t="b">
        <v>0</v>
      </c>
      <c r="AI341" s="84" t="s">
        <v>1751</v>
      </c>
      <c r="AJ341" s="84"/>
      <c r="AK341" s="92" t="s">
        <v>1724</v>
      </c>
      <c r="AL341" s="84" t="b">
        <v>0</v>
      </c>
      <c r="AM341" s="84">
        <v>7</v>
      </c>
      <c r="AN341" s="92" t="s">
        <v>1360</v>
      </c>
      <c r="AO341" s="84" t="s">
        <v>1766</v>
      </c>
      <c r="AP341" s="84" t="b">
        <v>0</v>
      </c>
      <c r="AQ341" s="92" t="s">
        <v>1360</v>
      </c>
      <c r="AR341" s="84" t="s">
        <v>179</v>
      </c>
      <c r="AS341" s="84">
        <v>0</v>
      </c>
      <c r="AT341" s="84">
        <v>0</v>
      </c>
      <c r="AU341" s="84"/>
      <c r="AV341" s="84"/>
      <c r="AW341" s="84"/>
      <c r="AX341" s="84"/>
      <c r="AY341" s="84"/>
      <c r="AZ341" s="84"/>
      <c r="BA341" s="84"/>
      <c r="BB341" s="84"/>
    </row>
    <row r="342" spans="1:54" x14ac:dyDescent="0.2">
      <c r="A342" s="69" t="s">
        <v>271</v>
      </c>
      <c r="B342" s="69" t="s">
        <v>281</v>
      </c>
      <c r="C342" s="70"/>
      <c r="D342" s="71"/>
      <c r="E342" s="72"/>
      <c r="F342" s="73"/>
      <c r="G342" s="70"/>
      <c r="H342" s="74"/>
      <c r="I342" s="75"/>
      <c r="J342" s="75"/>
      <c r="K342" s="36"/>
      <c r="L342" s="82"/>
      <c r="M342" s="82"/>
      <c r="N342" s="77"/>
      <c r="O342" s="84" t="s">
        <v>502</v>
      </c>
      <c r="P342" s="86">
        <v>44020.088159722225</v>
      </c>
      <c r="Q342" s="84" t="s">
        <v>559</v>
      </c>
      <c r="R342" s="84"/>
      <c r="S342" s="84"/>
      <c r="T342" s="84"/>
      <c r="U342" s="84"/>
      <c r="V342" s="87" t="str">
        <f>HYPERLINK("http://pbs.twimg.com/profile_images/1280619484131340295/dYEZ0q1Q_normal.jpg")</f>
        <v>http://pbs.twimg.com/profile_images/1280619484131340295/dYEZ0q1Q_normal.jpg</v>
      </c>
      <c r="W342" s="86">
        <v>44020.088159722225</v>
      </c>
      <c r="X342" s="90">
        <v>44020</v>
      </c>
      <c r="Y342" s="92" t="s">
        <v>932</v>
      </c>
      <c r="Z342" s="87" t="str">
        <f>HYPERLINK("https://twitter.com/legendslima/status/1280684767969714176")</f>
        <v>https://twitter.com/legendslima/status/1280684767969714176</v>
      </c>
      <c r="AA342" s="84"/>
      <c r="AB342" s="84"/>
      <c r="AC342" s="92" t="s">
        <v>1351</v>
      </c>
      <c r="AD342" s="84"/>
      <c r="AE342" s="84" t="b">
        <v>0</v>
      </c>
      <c r="AF342" s="84">
        <v>0</v>
      </c>
      <c r="AG342" s="92" t="s">
        <v>1724</v>
      </c>
      <c r="AH342" s="84" t="b">
        <v>0</v>
      </c>
      <c r="AI342" s="84" t="s">
        <v>1751</v>
      </c>
      <c r="AJ342" s="84"/>
      <c r="AK342" s="92" t="s">
        <v>1724</v>
      </c>
      <c r="AL342" s="84" t="b">
        <v>0</v>
      </c>
      <c r="AM342" s="84">
        <v>7</v>
      </c>
      <c r="AN342" s="92" t="s">
        <v>1360</v>
      </c>
      <c r="AO342" s="84" t="s">
        <v>1766</v>
      </c>
      <c r="AP342" s="84" t="b">
        <v>0</v>
      </c>
      <c r="AQ342" s="92" t="s">
        <v>1360</v>
      </c>
      <c r="AR342" s="84" t="s">
        <v>179</v>
      </c>
      <c r="AS342" s="84">
        <v>0</v>
      </c>
      <c r="AT342" s="84">
        <v>0</v>
      </c>
      <c r="AU342" s="84"/>
      <c r="AV342" s="84"/>
      <c r="AW342" s="84"/>
      <c r="AX342" s="84"/>
      <c r="AY342" s="84"/>
      <c r="AZ342" s="84"/>
      <c r="BA342" s="84"/>
      <c r="BB342" s="84"/>
    </row>
    <row r="343" spans="1:54" x14ac:dyDescent="0.2">
      <c r="A343" s="69" t="s">
        <v>271</v>
      </c>
      <c r="B343" s="69" t="s">
        <v>280</v>
      </c>
      <c r="C343" s="70"/>
      <c r="D343" s="71"/>
      <c r="E343" s="72"/>
      <c r="F343" s="73"/>
      <c r="G343" s="70"/>
      <c r="H343" s="74"/>
      <c r="I343" s="75"/>
      <c r="J343" s="75"/>
      <c r="K343" s="36"/>
      <c r="L343" s="82"/>
      <c r="M343" s="82"/>
      <c r="N343" s="77"/>
      <c r="O343" s="84" t="s">
        <v>500</v>
      </c>
      <c r="P343" s="86">
        <v>44020.088159722225</v>
      </c>
      <c r="Q343" s="84" t="s">
        <v>559</v>
      </c>
      <c r="R343" s="84"/>
      <c r="S343" s="84"/>
      <c r="T343" s="84"/>
      <c r="U343" s="84"/>
      <c r="V343" s="87" t="str">
        <f>HYPERLINK("http://pbs.twimg.com/profile_images/1280619484131340295/dYEZ0q1Q_normal.jpg")</f>
        <v>http://pbs.twimg.com/profile_images/1280619484131340295/dYEZ0q1Q_normal.jpg</v>
      </c>
      <c r="W343" s="86">
        <v>44020.088159722225</v>
      </c>
      <c r="X343" s="90">
        <v>44020</v>
      </c>
      <c r="Y343" s="92" t="s">
        <v>932</v>
      </c>
      <c r="Z343" s="87" t="str">
        <f>HYPERLINK("https://twitter.com/legendslima/status/1280684767969714176")</f>
        <v>https://twitter.com/legendslima/status/1280684767969714176</v>
      </c>
      <c r="AA343" s="84"/>
      <c r="AB343" s="84"/>
      <c r="AC343" s="92" t="s">
        <v>1351</v>
      </c>
      <c r="AD343" s="84"/>
      <c r="AE343" s="84" t="b">
        <v>0</v>
      </c>
      <c r="AF343" s="84">
        <v>0</v>
      </c>
      <c r="AG343" s="92" t="s">
        <v>1724</v>
      </c>
      <c r="AH343" s="84" t="b">
        <v>0</v>
      </c>
      <c r="AI343" s="84" t="s">
        <v>1751</v>
      </c>
      <c r="AJ343" s="84"/>
      <c r="AK343" s="92" t="s">
        <v>1724</v>
      </c>
      <c r="AL343" s="84" t="b">
        <v>0</v>
      </c>
      <c r="AM343" s="84">
        <v>7</v>
      </c>
      <c r="AN343" s="92" t="s">
        <v>1360</v>
      </c>
      <c r="AO343" s="84" t="s">
        <v>1766</v>
      </c>
      <c r="AP343" s="84" t="b">
        <v>0</v>
      </c>
      <c r="AQ343" s="92" t="s">
        <v>1360</v>
      </c>
      <c r="AR343" s="84" t="s">
        <v>179</v>
      </c>
      <c r="AS343" s="84">
        <v>0</v>
      </c>
      <c r="AT343" s="84">
        <v>0</v>
      </c>
      <c r="AU343" s="84"/>
      <c r="AV343" s="84"/>
      <c r="AW343" s="84"/>
      <c r="AX343" s="84"/>
      <c r="AY343" s="84"/>
      <c r="AZ343" s="84"/>
      <c r="BA343" s="84"/>
      <c r="BB343" s="84"/>
    </row>
    <row r="344" spans="1:54" x14ac:dyDescent="0.2">
      <c r="A344" s="69" t="s">
        <v>270</v>
      </c>
      <c r="B344" s="69" t="s">
        <v>470</v>
      </c>
      <c r="C344" s="70"/>
      <c r="D344" s="71"/>
      <c r="E344" s="72"/>
      <c r="F344" s="73"/>
      <c r="G344" s="70"/>
      <c r="H344" s="74"/>
      <c r="I344" s="75"/>
      <c r="J344" s="75"/>
      <c r="K344" s="36"/>
      <c r="L344" s="82"/>
      <c r="M344" s="82"/>
      <c r="N344" s="77"/>
      <c r="O344" s="84" t="s">
        <v>502</v>
      </c>
      <c r="P344" s="86">
        <v>44020.087500000001</v>
      </c>
      <c r="Q344" s="84" t="s">
        <v>559</v>
      </c>
      <c r="R344" s="84"/>
      <c r="S344" s="84"/>
      <c r="T344" s="84"/>
      <c r="U344" s="84"/>
      <c r="V344" s="87" t="str">
        <f>HYPERLINK("http://pbs.twimg.com/profile_images/1141114759498088448/rF7pQbwT_normal.png")</f>
        <v>http://pbs.twimg.com/profile_images/1141114759498088448/rF7pQbwT_normal.png</v>
      </c>
      <c r="W344" s="86">
        <v>44020.087500000001</v>
      </c>
      <c r="X344" s="90">
        <v>44020</v>
      </c>
      <c r="Y344" s="92" t="s">
        <v>931</v>
      </c>
      <c r="Z344" s="87" t="str">
        <f>HYPERLINK("https://twitter.com/pogo_pac/status/1280684529116745730")</f>
        <v>https://twitter.com/pogo_pac/status/1280684529116745730</v>
      </c>
      <c r="AA344" s="84"/>
      <c r="AB344" s="84"/>
      <c r="AC344" s="92" t="s">
        <v>1350</v>
      </c>
      <c r="AD344" s="84"/>
      <c r="AE344" s="84" t="b">
        <v>0</v>
      </c>
      <c r="AF344" s="84">
        <v>0</v>
      </c>
      <c r="AG344" s="92" t="s">
        <v>1724</v>
      </c>
      <c r="AH344" s="84" t="b">
        <v>0</v>
      </c>
      <c r="AI344" s="84" t="s">
        <v>1751</v>
      </c>
      <c r="AJ344" s="84"/>
      <c r="AK344" s="92" t="s">
        <v>1724</v>
      </c>
      <c r="AL344" s="84" t="b">
        <v>0</v>
      </c>
      <c r="AM344" s="84">
        <v>7</v>
      </c>
      <c r="AN344" s="92" t="s">
        <v>1360</v>
      </c>
      <c r="AO344" s="84" t="s">
        <v>1763</v>
      </c>
      <c r="AP344" s="84" t="b">
        <v>0</v>
      </c>
      <c r="AQ344" s="92" t="s">
        <v>1360</v>
      </c>
      <c r="AR344" s="84" t="s">
        <v>179</v>
      </c>
      <c r="AS344" s="84">
        <v>0</v>
      </c>
      <c r="AT344" s="84">
        <v>0</v>
      </c>
      <c r="AU344" s="84"/>
      <c r="AV344" s="84"/>
      <c r="AW344" s="84"/>
      <c r="AX344" s="84"/>
      <c r="AY344" s="84"/>
      <c r="AZ344" s="84"/>
      <c r="BA344" s="84"/>
      <c r="BB344" s="84"/>
    </row>
    <row r="345" spans="1:54" x14ac:dyDescent="0.2">
      <c r="A345" s="69" t="s">
        <v>270</v>
      </c>
      <c r="B345" s="69" t="s">
        <v>281</v>
      </c>
      <c r="C345" s="70"/>
      <c r="D345" s="71"/>
      <c r="E345" s="72"/>
      <c r="F345" s="73"/>
      <c r="G345" s="70"/>
      <c r="H345" s="74"/>
      <c r="I345" s="75"/>
      <c r="J345" s="75"/>
      <c r="K345" s="36"/>
      <c r="L345" s="82"/>
      <c r="M345" s="82"/>
      <c r="N345" s="77"/>
      <c r="O345" s="84" t="s">
        <v>502</v>
      </c>
      <c r="P345" s="86">
        <v>44020.087500000001</v>
      </c>
      <c r="Q345" s="84" t="s">
        <v>559</v>
      </c>
      <c r="R345" s="84"/>
      <c r="S345" s="84"/>
      <c r="T345" s="84"/>
      <c r="U345" s="84"/>
      <c r="V345" s="87" t="str">
        <f>HYPERLINK("http://pbs.twimg.com/profile_images/1141114759498088448/rF7pQbwT_normal.png")</f>
        <v>http://pbs.twimg.com/profile_images/1141114759498088448/rF7pQbwT_normal.png</v>
      </c>
      <c r="W345" s="86">
        <v>44020.087500000001</v>
      </c>
      <c r="X345" s="90">
        <v>44020</v>
      </c>
      <c r="Y345" s="92" t="s">
        <v>931</v>
      </c>
      <c r="Z345" s="87" t="str">
        <f>HYPERLINK("https://twitter.com/pogo_pac/status/1280684529116745730")</f>
        <v>https://twitter.com/pogo_pac/status/1280684529116745730</v>
      </c>
      <c r="AA345" s="84"/>
      <c r="AB345" s="84"/>
      <c r="AC345" s="92" t="s">
        <v>1350</v>
      </c>
      <c r="AD345" s="84"/>
      <c r="AE345" s="84" t="b">
        <v>0</v>
      </c>
      <c r="AF345" s="84">
        <v>0</v>
      </c>
      <c r="AG345" s="92" t="s">
        <v>1724</v>
      </c>
      <c r="AH345" s="84" t="b">
        <v>0</v>
      </c>
      <c r="AI345" s="84" t="s">
        <v>1751</v>
      </c>
      <c r="AJ345" s="84"/>
      <c r="AK345" s="92" t="s">
        <v>1724</v>
      </c>
      <c r="AL345" s="84" t="b">
        <v>0</v>
      </c>
      <c r="AM345" s="84">
        <v>7</v>
      </c>
      <c r="AN345" s="92" t="s">
        <v>1360</v>
      </c>
      <c r="AO345" s="84" t="s">
        <v>1763</v>
      </c>
      <c r="AP345" s="84" t="b">
        <v>0</v>
      </c>
      <c r="AQ345" s="92" t="s">
        <v>1360</v>
      </c>
      <c r="AR345" s="84" t="s">
        <v>179</v>
      </c>
      <c r="AS345" s="84">
        <v>0</v>
      </c>
      <c r="AT345" s="84">
        <v>0</v>
      </c>
      <c r="AU345" s="84"/>
      <c r="AV345" s="84"/>
      <c r="AW345" s="84"/>
      <c r="AX345" s="84"/>
      <c r="AY345" s="84"/>
      <c r="AZ345" s="84"/>
      <c r="BA345" s="84"/>
      <c r="BB345" s="84"/>
    </row>
    <row r="346" spans="1:54" x14ac:dyDescent="0.2">
      <c r="A346" s="69" t="s">
        <v>270</v>
      </c>
      <c r="B346" s="69" t="s">
        <v>280</v>
      </c>
      <c r="C346" s="70"/>
      <c r="D346" s="71"/>
      <c r="E346" s="72"/>
      <c r="F346" s="73"/>
      <c r="G346" s="70"/>
      <c r="H346" s="74"/>
      <c r="I346" s="75"/>
      <c r="J346" s="75"/>
      <c r="K346" s="36"/>
      <c r="L346" s="82"/>
      <c r="M346" s="82"/>
      <c r="N346" s="77"/>
      <c r="O346" s="84" t="s">
        <v>500</v>
      </c>
      <c r="P346" s="86">
        <v>44020.087500000001</v>
      </c>
      <c r="Q346" s="84" t="s">
        <v>559</v>
      </c>
      <c r="R346" s="84"/>
      <c r="S346" s="84"/>
      <c r="T346" s="84"/>
      <c r="U346" s="84"/>
      <c r="V346" s="87" t="str">
        <f>HYPERLINK("http://pbs.twimg.com/profile_images/1141114759498088448/rF7pQbwT_normal.png")</f>
        <v>http://pbs.twimg.com/profile_images/1141114759498088448/rF7pQbwT_normal.png</v>
      </c>
      <c r="W346" s="86">
        <v>44020.087500000001</v>
      </c>
      <c r="X346" s="90">
        <v>44020</v>
      </c>
      <c r="Y346" s="92" t="s">
        <v>931</v>
      </c>
      <c r="Z346" s="87" t="str">
        <f>HYPERLINK("https://twitter.com/pogo_pac/status/1280684529116745730")</f>
        <v>https://twitter.com/pogo_pac/status/1280684529116745730</v>
      </c>
      <c r="AA346" s="84"/>
      <c r="AB346" s="84"/>
      <c r="AC346" s="92" t="s">
        <v>1350</v>
      </c>
      <c r="AD346" s="84"/>
      <c r="AE346" s="84" t="b">
        <v>0</v>
      </c>
      <c r="AF346" s="84">
        <v>0</v>
      </c>
      <c r="AG346" s="92" t="s">
        <v>1724</v>
      </c>
      <c r="AH346" s="84" t="b">
        <v>0</v>
      </c>
      <c r="AI346" s="84" t="s">
        <v>1751</v>
      </c>
      <c r="AJ346" s="84"/>
      <c r="AK346" s="92" t="s">
        <v>1724</v>
      </c>
      <c r="AL346" s="84" t="b">
        <v>0</v>
      </c>
      <c r="AM346" s="84">
        <v>7</v>
      </c>
      <c r="AN346" s="92" t="s">
        <v>1360</v>
      </c>
      <c r="AO346" s="84" t="s">
        <v>1763</v>
      </c>
      <c r="AP346" s="84" t="b">
        <v>0</v>
      </c>
      <c r="AQ346" s="92" t="s">
        <v>1360</v>
      </c>
      <c r="AR346" s="84" t="s">
        <v>179</v>
      </c>
      <c r="AS346" s="84">
        <v>0</v>
      </c>
      <c r="AT346" s="84">
        <v>0</v>
      </c>
      <c r="AU346" s="84"/>
      <c r="AV346" s="84"/>
      <c r="AW346" s="84"/>
      <c r="AX346" s="84"/>
      <c r="AY346" s="84"/>
      <c r="AZ346" s="84"/>
      <c r="BA346" s="84"/>
      <c r="BB346" s="84"/>
    </row>
    <row r="347" spans="1:54" x14ac:dyDescent="0.2">
      <c r="A347" s="69" t="s">
        <v>280</v>
      </c>
      <c r="B347" s="69" t="s">
        <v>470</v>
      </c>
      <c r="C347" s="70"/>
      <c r="D347" s="71"/>
      <c r="E347" s="72"/>
      <c r="F347" s="73"/>
      <c r="G347" s="70"/>
      <c r="H347" s="74"/>
      <c r="I347" s="75"/>
      <c r="J347" s="75"/>
      <c r="K347" s="36"/>
      <c r="L347" s="82"/>
      <c r="M347" s="82"/>
      <c r="N347" s="77"/>
      <c r="O347" s="84" t="s">
        <v>502</v>
      </c>
      <c r="P347" s="86">
        <v>44020.087071759262</v>
      </c>
      <c r="Q347" s="84" t="s">
        <v>559</v>
      </c>
      <c r="R347" s="84"/>
      <c r="S347" s="84"/>
      <c r="T347" s="84"/>
      <c r="U347" s="84"/>
      <c r="V347" s="87" t="str">
        <f>HYPERLINK("http://pbs.twimg.com/profile_images/1152665675707686913/ZVNwD1o__normal.jpg")</f>
        <v>http://pbs.twimg.com/profile_images/1152665675707686913/ZVNwD1o__normal.jpg</v>
      </c>
      <c r="W347" s="86">
        <v>44020.087071759262</v>
      </c>
      <c r="X347" s="90">
        <v>44020</v>
      </c>
      <c r="Y347" s="92" t="s">
        <v>942</v>
      </c>
      <c r="Z347" s="87" t="str">
        <f>HYPERLINK("https://twitter.com/g2g_med1a/status/1280684376313954304")</f>
        <v>https://twitter.com/g2g_med1a/status/1280684376313954304</v>
      </c>
      <c r="AA347" s="84"/>
      <c r="AB347" s="84"/>
      <c r="AC347" s="92" t="s">
        <v>1361</v>
      </c>
      <c r="AD347" s="84"/>
      <c r="AE347" s="84" t="b">
        <v>0</v>
      </c>
      <c r="AF347" s="84">
        <v>0</v>
      </c>
      <c r="AG347" s="92" t="s">
        <v>1724</v>
      </c>
      <c r="AH347" s="84" t="b">
        <v>0</v>
      </c>
      <c r="AI347" s="84" t="s">
        <v>1751</v>
      </c>
      <c r="AJ347" s="84"/>
      <c r="AK347" s="92" t="s">
        <v>1724</v>
      </c>
      <c r="AL347" s="84" t="b">
        <v>0</v>
      </c>
      <c r="AM347" s="84">
        <v>7</v>
      </c>
      <c r="AN347" s="92" t="s">
        <v>1360</v>
      </c>
      <c r="AO347" s="84" t="s">
        <v>1763</v>
      </c>
      <c r="AP347" s="84" t="b">
        <v>0</v>
      </c>
      <c r="AQ347" s="92" t="s">
        <v>1360</v>
      </c>
      <c r="AR347" s="84" t="s">
        <v>179</v>
      </c>
      <c r="AS347" s="84">
        <v>0</v>
      </c>
      <c r="AT347" s="84">
        <v>0</v>
      </c>
      <c r="AU347" s="84"/>
      <c r="AV347" s="84"/>
      <c r="AW347" s="84"/>
      <c r="AX347" s="84"/>
      <c r="AY347" s="84"/>
      <c r="AZ347" s="84"/>
      <c r="BA347" s="84"/>
      <c r="BB347" s="84"/>
    </row>
    <row r="348" spans="1:54" x14ac:dyDescent="0.2">
      <c r="A348" s="69" t="s">
        <v>280</v>
      </c>
      <c r="B348" s="69" t="s">
        <v>281</v>
      </c>
      <c r="C348" s="70"/>
      <c r="D348" s="71"/>
      <c r="E348" s="72"/>
      <c r="F348" s="73"/>
      <c r="G348" s="70"/>
      <c r="H348" s="74"/>
      <c r="I348" s="75"/>
      <c r="J348" s="75"/>
      <c r="K348" s="36"/>
      <c r="L348" s="82"/>
      <c r="M348" s="82"/>
      <c r="N348" s="77"/>
      <c r="O348" s="84" t="s">
        <v>502</v>
      </c>
      <c r="P348" s="86">
        <v>44020.087071759262</v>
      </c>
      <c r="Q348" s="84" t="s">
        <v>559</v>
      </c>
      <c r="R348" s="84"/>
      <c r="S348" s="84"/>
      <c r="T348" s="84"/>
      <c r="U348" s="84"/>
      <c r="V348" s="87" t="str">
        <f>HYPERLINK("http://pbs.twimg.com/profile_images/1152665675707686913/ZVNwD1o__normal.jpg")</f>
        <v>http://pbs.twimg.com/profile_images/1152665675707686913/ZVNwD1o__normal.jpg</v>
      </c>
      <c r="W348" s="86">
        <v>44020.087071759262</v>
      </c>
      <c r="X348" s="90">
        <v>44020</v>
      </c>
      <c r="Y348" s="92" t="s">
        <v>942</v>
      </c>
      <c r="Z348" s="87" t="str">
        <f>HYPERLINK("https://twitter.com/g2g_med1a/status/1280684376313954304")</f>
        <v>https://twitter.com/g2g_med1a/status/1280684376313954304</v>
      </c>
      <c r="AA348" s="84"/>
      <c r="AB348" s="84"/>
      <c r="AC348" s="92" t="s">
        <v>1361</v>
      </c>
      <c r="AD348" s="84"/>
      <c r="AE348" s="84" t="b">
        <v>0</v>
      </c>
      <c r="AF348" s="84">
        <v>0</v>
      </c>
      <c r="AG348" s="92" t="s">
        <v>1724</v>
      </c>
      <c r="AH348" s="84" t="b">
        <v>0</v>
      </c>
      <c r="AI348" s="84" t="s">
        <v>1751</v>
      </c>
      <c r="AJ348" s="84"/>
      <c r="AK348" s="92" t="s">
        <v>1724</v>
      </c>
      <c r="AL348" s="84" t="b">
        <v>0</v>
      </c>
      <c r="AM348" s="84">
        <v>7</v>
      </c>
      <c r="AN348" s="92" t="s">
        <v>1360</v>
      </c>
      <c r="AO348" s="84" t="s">
        <v>1763</v>
      </c>
      <c r="AP348" s="84" t="b">
        <v>0</v>
      </c>
      <c r="AQ348" s="92" t="s">
        <v>1360</v>
      </c>
      <c r="AR348" s="84" t="s">
        <v>179</v>
      </c>
      <c r="AS348" s="84">
        <v>0</v>
      </c>
      <c r="AT348" s="84">
        <v>0</v>
      </c>
      <c r="AU348" s="84"/>
      <c r="AV348" s="84"/>
      <c r="AW348" s="84"/>
      <c r="AX348" s="84"/>
      <c r="AY348" s="84"/>
      <c r="AZ348" s="84"/>
      <c r="BA348" s="84"/>
      <c r="BB348" s="84"/>
    </row>
    <row r="349" spans="1:54" x14ac:dyDescent="0.2">
      <c r="A349" s="69" t="s">
        <v>280</v>
      </c>
      <c r="B349" s="69" t="s">
        <v>280</v>
      </c>
      <c r="C349" s="70"/>
      <c r="D349" s="71"/>
      <c r="E349" s="72"/>
      <c r="F349" s="73"/>
      <c r="G349" s="70"/>
      <c r="H349" s="74"/>
      <c r="I349" s="75"/>
      <c r="J349" s="75"/>
      <c r="K349" s="36"/>
      <c r="L349" s="82"/>
      <c r="M349" s="82"/>
      <c r="N349" s="77"/>
      <c r="O349" s="84" t="s">
        <v>500</v>
      </c>
      <c r="P349" s="86">
        <v>44020.087071759262</v>
      </c>
      <c r="Q349" s="84" t="s">
        <v>559</v>
      </c>
      <c r="R349" s="84"/>
      <c r="S349" s="84"/>
      <c r="T349" s="84"/>
      <c r="U349" s="84"/>
      <c r="V349" s="87" t="str">
        <f>HYPERLINK("http://pbs.twimg.com/profile_images/1152665675707686913/ZVNwD1o__normal.jpg")</f>
        <v>http://pbs.twimg.com/profile_images/1152665675707686913/ZVNwD1o__normal.jpg</v>
      </c>
      <c r="W349" s="86">
        <v>44020.087071759262</v>
      </c>
      <c r="X349" s="90">
        <v>44020</v>
      </c>
      <c r="Y349" s="92" t="s">
        <v>942</v>
      </c>
      <c r="Z349" s="87" t="str">
        <f>HYPERLINK("https://twitter.com/g2g_med1a/status/1280684376313954304")</f>
        <v>https://twitter.com/g2g_med1a/status/1280684376313954304</v>
      </c>
      <c r="AA349" s="84"/>
      <c r="AB349" s="84"/>
      <c r="AC349" s="92" t="s">
        <v>1361</v>
      </c>
      <c r="AD349" s="84"/>
      <c r="AE349" s="84" t="b">
        <v>0</v>
      </c>
      <c r="AF349" s="84">
        <v>0</v>
      </c>
      <c r="AG349" s="92" t="s">
        <v>1724</v>
      </c>
      <c r="AH349" s="84" t="b">
        <v>0</v>
      </c>
      <c r="AI349" s="84" t="s">
        <v>1751</v>
      </c>
      <c r="AJ349" s="84"/>
      <c r="AK349" s="92" t="s">
        <v>1724</v>
      </c>
      <c r="AL349" s="84" t="b">
        <v>0</v>
      </c>
      <c r="AM349" s="84">
        <v>7</v>
      </c>
      <c r="AN349" s="92" t="s">
        <v>1360</v>
      </c>
      <c r="AO349" s="84" t="s">
        <v>1763</v>
      </c>
      <c r="AP349" s="84" t="b">
        <v>0</v>
      </c>
      <c r="AQ349" s="92" t="s">
        <v>1360</v>
      </c>
      <c r="AR349" s="84" t="s">
        <v>179</v>
      </c>
      <c r="AS349" s="84">
        <v>0</v>
      </c>
      <c r="AT349" s="84">
        <v>0</v>
      </c>
      <c r="AU349" s="84"/>
      <c r="AV349" s="84"/>
      <c r="AW349" s="84"/>
      <c r="AX349" s="84"/>
      <c r="AY349" s="84"/>
      <c r="AZ349" s="84"/>
      <c r="BA349" s="84"/>
      <c r="BB349" s="84"/>
    </row>
    <row r="350" spans="1:54" x14ac:dyDescent="0.2">
      <c r="A350" s="69" t="s">
        <v>269</v>
      </c>
      <c r="B350" s="69" t="s">
        <v>470</v>
      </c>
      <c r="C350" s="70"/>
      <c r="D350" s="71"/>
      <c r="E350" s="72"/>
      <c r="F350" s="73"/>
      <c r="G350" s="70"/>
      <c r="H350" s="74"/>
      <c r="I350" s="75"/>
      <c r="J350" s="75"/>
      <c r="K350" s="36"/>
      <c r="L350" s="82"/>
      <c r="M350" s="82"/>
      <c r="N350" s="77"/>
      <c r="O350" s="84" t="s">
        <v>502</v>
      </c>
      <c r="P350" s="86">
        <v>44020.086759259262</v>
      </c>
      <c r="Q350" s="84" t="s">
        <v>559</v>
      </c>
      <c r="R350" s="84"/>
      <c r="S350" s="84"/>
      <c r="T350" s="84"/>
      <c r="U350" s="84"/>
      <c r="V350" s="87" t="str">
        <f>HYPERLINK("http://pbs.twimg.com/profile_images/1211806888414896128/kvSu-Ryt_normal.jpg")</f>
        <v>http://pbs.twimg.com/profile_images/1211806888414896128/kvSu-Ryt_normal.jpg</v>
      </c>
      <c r="W350" s="86">
        <v>44020.086759259262</v>
      </c>
      <c r="X350" s="90">
        <v>44020</v>
      </c>
      <c r="Y350" s="92" t="s">
        <v>930</v>
      </c>
      <c r="Z350" s="87" t="str">
        <f>HYPERLINK("https://twitter.com/mothatude/status/1280684260324790272")</f>
        <v>https://twitter.com/mothatude/status/1280684260324790272</v>
      </c>
      <c r="AA350" s="84"/>
      <c r="AB350" s="84"/>
      <c r="AC350" s="92" t="s">
        <v>1349</v>
      </c>
      <c r="AD350" s="84"/>
      <c r="AE350" s="84" t="b">
        <v>0</v>
      </c>
      <c r="AF350" s="84">
        <v>0</v>
      </c>
      <c r="AG350" s="92" t="s">
        <v>1724</v>
      </c>
      <c r="AH350" s="84" t="b">
        <v>0</v>
      </c>
      <c r="AI350" s="84" t="s">
        <v>1751</v>
      </c>
      <c r="AJ350" s="84"/>
      <c r="AK350" s="92" t="s">
        <v>1724</v>
      </c>
      <c r="AL350" s="84" t="b">
        <v>0</v>
      </c>
      <c r="AM350" s="84">
        <v>7</v>
      </c>
      <c r="AN350" s="92" t="s">
        <v>1360</v>
      </c>
      <c r="AO350" s="84" t="s">
        <v>1763</v>
      </c>
      <c r="AP350" s="84" t="b">
        <v>0</v>
      </c>
      <c r="AQ350" s="92" t="s">
        <v>1360</v>
      </c>
      <c r="AR350" s="84" t="s">
        <v>179</v>
      </c>
      <c r="AS350" s="84">
        <v>0</v>
      </c>
      <c r="AT350" s="84">
        <v>0</v>
      </c>
      <c r="AU350" s="84"/>
      <c r="AV350" s="84"/>
      <c r="AW350" s="84"/>
      <c r="AX350" s="84"/>
      <c r="AY350" s="84"/>
      <c r="AZ350" s="84"/>
      <c r="BA350" s="84"/>
      <c r="BB350" s="84"/>
    </row>
    <row r="351" spans="1:54" x14ac:dyDescent="0.2">
      <c r="A351" s="69" t="s">
        <v>269</v>
      </c>
      <c r="B351" s="69" t="s">
        <v>281</v>
      </c>
      <c r="C351" s="70"/>
      <c r="D351" s="71"/>
      <c r="E351" s="72"/>
      <c r="F351" s="73"/>
      <c r="G351" s="70"/>
      <c r="H351" s="74"/>
      <c r="I351" s="75"/>
      <c r="J351" s="75"/>
      <c r="K351" s="36"/>
      <c r="L351" s="82"/>
      <c r="M351" s="82"/>
      <c r="N351" s="77"/>
      <c r="O351" s="84" t="s">
        <v>502</v>
      </c>
      <c r="P351" s="86">
        <v>44020.086759259262</v>
      </c>
      <c r="Q351" s="84" t="s">
        <v>559</v>
      </c>
      <c r="R351" s="84"/>
      <c r="S351" s="84"/>
      <c r="T351" s="84"/>
      <c r="U351" s="84"/>
      <c r="V351" s="87" t="str">
        <f>HYPERLINK("http://pbs.twimg.com/profile_images/1211806888414896128/kvSu-Ryt_normal.jpg")</f>
        <v>http://pbs.twimg.com/profile_images/1211806888414896128/kvSu-Ryt_normal.jpg</v>
      </c>
      <c r="W351" s="86">
        <v>44020.086759259262</v>
      </c>
      <c r="X351" s="90">
        <v>44020</v>
      </c>
      <c r="Y351" s="92" t="s">
        <v>930</v>
      </c>
      <c r="Z351" s="87" t="str">
        <f>HYPERLINK("https://twitter.com/mothatude/status/1280684260324790272")</f>
        <v>https://twitter.com/mothatude/status/1280684260324790272</v>
      </c>
      <c r="AA351" s="84"/>
      <c r="AB351" s="84"/>
      <c r="AC351" s="92" t="s">
        <v>1349</v>
      </c>
      <c r="AD351" s="84"/>
      <c r="AE351" s="84" t="b">
        <v>0</v>
      </c>
      <c r="AF351" s="84">
        <v>0</v>
      </c>
      <c r="AG351" s="92" t="s">
        <v>1724</v>
      </c>
      <c r="AH351" s="84" t="b">
        <v>0</v>
      </c>
      <c r="AI351" s="84" t="s">
        <v>1751</v>
      </c>
      <c r="AJ351" s="84"/>
      <c r="AK351" s="92" t="s">
        <v>1724</v>
      </c>
      <c r="AL351" s="84" t="b">
        <v>0</v>
      </c>
      <c r="AM351" s="84">
        <v>7</v>
      </c>
      <c r="AN351" s="92" t="s">
        <v>1360</v>
      </c>
      <c r="AO351" s="84" t="s">
        <v>1763</v>
      </c>
      <c r="AP351" s="84" t="b">
        <v>0</v>
      </c>
      <c r="AQ351" s="92" t="s">
        <v>1360</v>
      </c>
      <c r="AR351" s="84" t="s">
        <v>179</v>
      </c>
      <c r="AS351" s="84">
        <v>0</v>
      </c>
      <c r="AT351" s="84">
        <v>0</v>
      </c>
      <c r="AU351" s="84"/>
      <c r="AV351" s="84"/>
      <c r="AW351" s="84"/>
      <c r="AX351" s="84"/>
      <c r="AY351" s="84"/>
      <c r="AZ351" s="84"/>
      <c r="BA351" s="84"/>
      <c r="BB351" s="84"/>
    </row>
    <row r="352" spans="1:54" x14ac:dyDescent="0.2">
      <c r="A352" s="69" t="s">
        <v>269</v>
      </c>
      <c r="B352" s="69" t="s">
        <v>280</v>
      </c>
      <c r="C352" s="70"/>
      <c r="D352" s="71"/>
      <c r="E352" s="72"/>
      <c r="F352" s="73"/>
      <c r="G352" s="70"/>
      <c r="H352" s="74"/>
      <c r="I352" s="75"/>
      <c r="J352" s="75"/>
      <c r="K352" s="36"/>
      <c r="L352" s="82"/>
      <c r="M352" s="82"/>
      <c r="N352" s="77"/>
      <c r="O352" s="84" t="s">
        <v>500</v>
      </c>
      <c r="P352" s="86">
        <v>44020.086759259262</v>
      </c>
      <c r="Q352" s="84" t="s">
        <v>559</v>
      </c>
      <c r="R352" s="84"/>
      <c r="S352" s="84"/>
      <c r="T352" s="84"/>
      <c r="U352" s="84"/>
      <c r="V352" s="87" t="str">
        <f>HYPERLINK("http://pbs.twimg.com/profile_images/1211806888414896128/kvSu-Ryt_normal.jpg")</f>
        <v>http://pbs.twimg.com/profile_images/1211806888414896128/kvSu-Ryt_normal.jpg</v>
      </c>
      <c r="W352" s="86">
        <v>44020.086759259262</v>
      </c>
      <c r="X352" s="90">
        <v>44020</v>
      </c>
      <c r="Y352" s="92" t="s">
        <v>930</v>
      </c>
      <c r="Z352" s="87" t="str">
        <f>HYPERLINK("https://twitter.com/mothatude/status/1280684260324790272")</f>
        <v>https://twitter.com/mothatude/status/1280684260324790272</v>
      </c>
      <c r="AA352" s="84"/>
      <c r="AB352" s="84"/>
      <c r="AC352" s="92" t="s">
        <v>1349</v>
      </c>
      <c r="AD352" s="84"/>
      <c r="AE352" s="84" t="b">
        <v>0</v>
      </c>
      <c r="AF352" s="84">
        <v>0</v>
      </c>
      <c r="AG352" s="92" t="s">
        <v>1724</v>
      </c>
      <c r="AH352" s="84" t="b">
        <v>0</v>
      </c>
      <c r="AI352" s="84" t="s">
        <v>1751</v>
      </c>
      <c r="AJ352" s="84"/>
      <c r="AK352" s="92" t="s">
        <v>1724</v>
      </c>
      <c r="AL352" s="84" t="b">
        <v>0</v>
      </c>
      <c r="AM352" s="84">
        <v>7</v>
      </c>
      <c r="AN352" s="92" t="s">
        <v>1360</v>
      </c>
      <c r="AO352" s="84" t="s">
        <v>1763</v>
      </c>
      <c r="AP352" s="84" t="b">
        <v>0</v>
      </c>
      <c r="AQ352" s="92" t="s">
        <v>1360</v>
      </c>
      <c r="AR352" s="84" t="s">
        <v>179</v>
      </c>
      <c r="AS352" s="84">
        <v>0</v>
      </c>
      <c r="AT352" s="84">
        <v>0</v>
      </c>
      <c r="AU352" s="84"/>
      <c r="AV352" s="84"/>
      <c r="AW352" s="84"/>
      <c r="AX352" s="84"/>
      <c r="AY352" s="84"/>
      <c r="AZ352" s="84"/>
      <c r="BA352" s="84"/>
      <c r="BB352" s="84"/>
    </row>
    <row r="353" spans="1:54" x14ac:dyDescent="0.2">
      <c r="A353" s="69" t="s">
        <v>280</v>
      </c>
      <c r="B353" s="69" t="s">
        <v>470</v>
      </c>
      <c r="C353" s="70"/>
      <c r="D353" s="71"/>
      <c r="E353" s="72"/>
      <c r="F353" s="73"/>
      <c r="G353" s="70"/>
      <c r="H353" s="74"/>
      <c r="I353" s="75"/>
      <c r="J353" s="75"/>
      <c r="K353" s="36"/>
      <c r="L353" s="82"/>
      <c r="M353" s="82"/>
      <c r="N353" s="77"/>
      <c r="O353" s="84" t="s">
        <v>501</v>
      </c>
      <c r="P353" s="86">
        <v>44020.086180555554</v>
      </c>
      <c r="Q353" s="84" t="s">
        <v>559</v>
      </c>
      <c r="R353" s="84"/>
      <c r="S353" s="84"/>
      <c r="T353" s="84" t="s">
        <v>806</v>
      </c>
      <c r="U353" s="84"/>
      <c r="V353" s="87" t="str">
        <f>HYPERLINK("http://pbs.twimg.com/profile_images/1152665675707686913/ZVNwD1o__normal.jpg")</f>
        <v>http://pbs.twimg.com/profile_images/1152665675707686913/ZVNwD1o__normal.jpg</v>
      </c>
      <c r="W353" s="86">
        <v>44020.086180555554</v>
      </c>
      <c r="X353" s="90">
        <v>44020</v>
      </c>
      <c r="Y353" s="92" t="s">
        <v>941</v>
      </c>
      <c r="Z353" s="87" t="str">
        <f>HYPERLINK("https://twitter.com/g2g_med1a/status/1280684050424967170")</f>
        <v>https://twitter.com/g2g_med1a/status/1280684050424967170</v>
      </c>
      <c r="AA353" s="84"/>
      <c r="AB353" s="84"/>
      <c r="AC353" s="92" t="s">
        <v>1360</v>
      </c>
      <c r="AD353" s="84"/>
      <c r="AE353" s="84" t="b">
        <v>0</v>
      </c>
      <c r="AF353" s="84">
        <v>21</v>
      </c>
      <c r="AG353" s="92" t="s">
        <v>1724</v>
      </c>
      <c r="AH353" s="84" t="b">
        <v>0</v>
      </c>
      <c r="AI353" s="84" t="s">
        <v>1751</v>
      </c>
      <c r="AJ353" s="84"/>
      <c r="AK353" s="92" t="s">
        <v>1724</v>
      </c>
      <c r="AL353" s="84" t="b">
        <v>0</v>
      </c>
      <c r="AM353" s="84">
        <v>7</v>
      </c>
      <c r="AN353" s="92" t="s">
        <v>1724</v>
      </c>
      <c r="AO353" s="84" t="s">
        <v>1766</v>
      </c>
      <c r="AP353" s="84" t="b">
        <v>0</v>
      </c>
      <c r="AQ353" s="92" t="s">
        <v>1360</v>
      </c>
      <c r="AR353" s="84" t="s">
        <v>179</v>
      </c>
      <c r="AS353" s="84">
        <v>0</v>
      </c>
      <c r="AT353" s="84">
        <v>0</v>
      </c>
      <c r="AU353" s="84"/>
      <c r="AV353" s="84"/>
      <c r="AW353" s="84"/>
      <c r="AX353" s="84"/>
      <c r="AY353" s="84"/>
      <c r="AZ353" s="84"/>
      <c r="BA353" s="84"/>
      <c r="BB353" s="84"/>
    </row>
    <row r="354" spans="1:54" x14ac:dyDescent="0.2">
      <c r="A354" s="69" t="s">
        <v>280</v>
      </c>
      <c r="B354" s="69" t="s">
        <v>281</v>
      </c>
      <c r="C354" s="70"/>
      <c r="D354" s="71"/>
      <c r="E354" s="72"/>
      <c r="F354" s="73"/>
      <c r="G354" s="70"/>
      <c r="H354" s="74"/>
      <c r="I354" s="75"/>
      <c r="J354" s="75"/>
      <c r="K354" s="36"/>
      <c r="L354" s="82"/>
      <c r="M354" s="82"/>
      <c r="N354" s="77"/>
      <c r="O354" s="84" t="s">
        <v>501</v>
      </c>
      <c r="P354" s="86">
        <v>44020.086180555554</v>
      </c>
      <c r="Q354" s="84" t="s">
        <v>559</v>
      </c>
      <c r="R354" s="84"/>
      <c r="S354" s="84"/>
      <c r="T354" s="84" t="s">
        <v>806</v>
      </c>
      <c r="U354" s="84"/>
      <c r="V354" s="87" t="str">
        <f>HYPERLINK("http://pbs.twimg.com/profile_images/1152665675707686913/ZVNwD1o__normal.jpg")</f>
        <v>http://pbs.twimg.com/profile_images/1152665675707686913/ZVNwD1o__normal.jpg</v>
      </c>
      <c r="W354" s="86">
        <v>44020.086180555554</v>
      </c>
      <c r="X354" s="90">
        <v>44020</v>
      </c>
      <c r="Y354" s="92" t="s">
        <v>941</v>
      </c>
      <c r="Z354" s="87" t="str">
        <f>HYPERLINK("https://twitter.com/g2g_med1a/status/1280684050424967170")</f>
        <v>https://twitter.com/g2g_med1a/status/1280684050424967170</v>
      </c>
      <c r="AA354" s="84"/>
      <c r="AB354" s="84"/>
      <c r="AC354" s="92" t="s">
        <v>1360</v>
      </c>
      <c r="AD354" s="84"/>
      <c r="AE354" s="84" t="b">
        <v>0</v>
      </c>
      <c r="AF354" s="84">
        <v>21</v>
      </c>
      <c r="AG354" s="92" t="s">
        <v>1724</v>
      </c>
      <c r="AH354" s="84" t="b">
        <v>0</v>
      </c>
      <c r="AI354" s="84" t="s">
        <v>1751</v>
      </c>
      <c r="AJ354" s="84"/>
      <c r="AK354" s="92" t="s">
        <v>1724</v>
      </c>
      <c r="AL354" s="84" t="b">
        <v>0</v>
      </c>
      <c r="AM354" s="84">
        <v>7</v>
      </c>
      <c r="AN354" s="92" t="s">
        <v>1724</v>
      </c>
      <c r="AO354" s="84" t="s">
        <v>1766</v>
      </c>
      <c r="AP354" s="84" t="b">
        <v>0</v>
      </c>
      <c r="AQ354" s="92" t="s">
        <v>1360</v>
      </c>
      <c r="AR354" s="84" t="s">
        <v>179</v>
      </c>
      <c r="AS354" s="84">
        <v>0</v>
      </c>
      <c r="AT354" s="84">
        <v>0</v>
      </c>
      <c r="AU354" s="84"/>
      <c r="AV354" s="84"/>
      <c r="AW354" s="84"/>
      <c r="AX354" s="84"/>
      <c r="AY354" s="84"/>
      <c r="AZ354" s="84"/>
      <c r="BA354" s="84"/>
      <c r="BB354" s="84"/>
    </row>
    <row r="355" spans="1:54" x14ac:dyDescent="0.2">
      <c r="A355" s="69" t="s">
        <v>268</v>
      </c>
      <c r="B355" s="69" t="s">
        <v>267</v>
      </c>
      <c r="C355" s="70"/>
      <c r="D355" s="71"/>
      <c r="E355" s="72"/>
      <c r="F355" s="73"/>
      <c r="G355" s="70"/>
      <c r="H355" s="74"/>
      <c r="I355" s="75"/>
      <c r="J355" s="75"/>
      <c r="K355" s="36"/>
      <c r="L355" s="82"/>
      <c r="M355" s="82"/>
      <c r="N355" s="77"/>
      <c r="O355" s="84" t="s">
        <v>500</v>
      </c>
      <c r="P355" s="86">
        <v>44020.083194444444</v>
      </c>
      <c r="Q355" s="84" t="s">
        <v>558</v>
      </c>
      <c r="R355" s="87" t="str">
        <f>HYPERLINK("https://community.wayfarer.nianticlabs.com/DISCUSSION/4864/BRINGING-BACK-AMAS/")</f>
        <v>https://community.wayfarer.nianticlabs.com/DISCUSSION/4864/BRINGING-BACK-AMAS/</v>
      </c>
      <c r="S355" s="84" t="s">
        <v>764</v>
      </c>
      <c r="T355" s="84" t="s">
        <v>781</v>
      </c>
      <c r="U355" s="84"/>
      <c r="V355" s="87" t="str">
        <f>HYPERLINK("http://pbs.twimg.com/profile_images/1236700380987158528/no6JZpdD_normal.jpg")</f>
        <v>http://pbs.twimg.com/profile_images/1236700380987158528/no6JZpdD_normal.jpg</v>
      </c>
      <c r="W355" s="86">
        <v>44020.083194444444</v>
      </c>
      <c r="X355" s="90">
        <v>44020</v>
      </c>
      <c r="Y355" s="92" t="s">
        <v>929</v>
      </c>
      <c r="Z355" s="87" t="str">
        <f>HYPERLINK("https://twitter.com/fightwood1/status/1280682968365756416")</f>
        <v>https://twitter.com/fightwood1/status/1280682968365756416</v>
      </c>
      <c r="AA355" s="84"/>
      <c r="AB355" s="84"/>
      <c r="AC355" s="92" t="s">
        <v>1348</v>
      </c>
      <c r="AD355" s="84"/>
      <c r="AE355" s="84" t="b">
        <v>0</v>
      </c>
      <c r="AF355" s="84">
        <v>0</v>
      </c>
      <c r="AG355" s="92" t="s">
        <v>1724</v>
      </c>
      <c r="AH355" s="84" t="b">
        <v>0</v>
      </c>
      <c r="AI355" s="84" t="s">
        <v>1753</v>
      </c>
      <c r="AJ355" s="84"/>
      <c r="AK355" s="92" t="s">
        <v>1724</v>
      </c>
      <c r="AL355" s="84" t="b">
        <v>0</v>
      </c>
      <c r="AM355" s="84">
        <v>2</v>
      </c>
      <c r="AN355" s="92" t="s">
        <v>1347</v>
      </c>
      <c r="AO355" s="84" t="s">
        <v>1764</v>
      </c>
      <c r="AP355" s="84" t="b">
        <v>0</v>
      </c>
      <c r="AQ355" s="92" t="s">
        <v>1347</v>
      </c>
      <c r="AR355" s="84" t="s">
        <v>179</v>
      </c>
      <c r="AS355" s="84">
        <v>0</v>
      </c>
      <c r="AT355" s="84">
        <v>0</v>
      </c>
      <c r="AU355" s="84"/>
      <c r="AV355" s="84"/>
      <c r="AW355" s="84"/>
      <c r="AX355" s="84"/>
      <c r="AY355" s="84"/>
      <c r="AZ355" s="84"/>
      <c r="BA355" s="84"/>
      <c r="BB355" s="84"/>
    </row>
    <row r="356" spans="1:54" x14ac:dyDescent="0.2">
      <c r="A356" s="69" t="s">
        <v>345</v>
      </c>
      <c r="B356" s="69" t="s">
        <v>344</v>
      </c>
      <c r="C356" s="70"/>
      <c r="D356" s="71"/>
      <c r="E356" s="72"/>
      <c r="F356" s="73"/>
      <c r="G356" s="70"/>
      <c r="H356" s="74"/>
      <c r="I356" s="75"/>
      <c r="J356" s="75"/>
      <c r="K356" s="36"/>
      <c r="L356" s="82"/>
      <c r="M356" s="82"/>
      <c r="N356" s="77"/>
      <c r="O356" s="84" t="s">
        <v>500</v>
      </c>
      <c r="P356" s="86">
        <v>44020.045370370368</v>
      </c>
      <c r="Q356" s="84" t="s">
        <v>646</v>
      </c>
      <c r="R356" s="84"/>
      <c r="S356" s="84"/>
      <c r="T356" s="84" t="s">
        <v>781</v>
      </c>
      <c r="U356" s="87" t="str">
        <f>HYPERLINK("https://pbs.twimg.com/media/EcVUFtOVAAAlCsC.jpg")</f>
        <v>https://pbs.twimg.com/media/EcVUFtOVAAAlCsC.jpg</v>
      </c>
      <c r="V356" s="87" t="str">
        <f>HYPERLINK("https://pbs.twimg.com/media/EcVUFtOVAAAlCsC.jpg")</f>
        <v>https://pbs.twimg.com/media/EcVUFtOVAAAlCsC.jpg</v>
      </c>
      <c r="W356" s="86">
        <v>44020.045370370368</v>
      </c>
      <c r="X356" s="90">
        <v>44020</v>
      </c>
      <c r="Y356" s="92" t="s">
        <v>1046</v>
      </c>
      <c r="Z356" s="87" t="str">
        <f>HYPERLINK("https://twitter.com/gorotsukineko/status/1280669262005194752")</f>
        <v>https://twitter.com/gorotsukineko/status/1280669262005194752</v>
      </c>
      <c r="AA356" s="84"/>
      <c r="AB356" s="84"/>
      <c r="AC356" s="92" t="s">
        <v>1465</v>
      </c>
      <c r="AD356" s="84"/>
      <c r="AE356" s="84" t="b">
        <v>0</v>
      </c>
      <c r="AF356" s="84">
        <v>0</v>
      </c>
      <c r="AG356" s="92" t="s">
        <v>1724</v>
      </c>
      <c r="AH356" s="84" t="b">
        <v>0</v>
      </c>
      <c r="AI356" s="84" t="s">
        <v>1750</v>
      </c>
      <c r="AJ356" s="84"/>
      <c r="AK356" s="92" t="s">
        <v>1724</v>
      </c>
      <c r="AL356" s="84" t="b">
        <v>0</v>
      </c>
      <c r="AM356" s="84">
        <v>1</v>
      </c>
      <c r="AN356" s="92" t="s">
        <v>1462</v>
      </c>
      <c r="AO356" s="84" t="s">
        <v>1769</v>
      </c>
      <c r="AP356" s="84" t="b">
        <v>0</v>
      </c>
      <c r="AQ356" s="92" t="s">
        <v>1462</v>
      </c>
      <c r="AR356" s="84" t="s">
        <v>179</v>
      </c>
      <c r="AS356" s="84">
        <v>0</v>
      </c>
      <c r="AT356" s="84">
        <v>0</v>
      </c>
      <c r="AU356" s="84"/>
      <c r="AV356" s="84"/>
      <c r="AW356" s="84"/>
      <c r="AX356" s="84"/>
      <c r="AY356" s="84"/>
      <c r="AZ356" s="84"/>
      <c r="BA356" s="84"/>
      <c r="BB356" s="84"/>
    </row>
    <row r="357" spans="1:54" x14ac:dyDescent="0.2">
      <c r="A357" s="69" t="s">
        <v>266</v>
      </c>
      <c r="B357" s="69" t="s">
        <v>267</v>
      </c>
      <c r="C357" s="70"/>
      <c r="D357" s="71"/>
      <c r="E357" s="72"/>
      <c r="F357" s="73"/>
      <c r="G357" s="70"/>
      <c r="H357" s="74"/>
      <c r="I357" s="75"/>
      <c r="J357" s="75"/>
      <c r="K357" s="36"/>
      <c r="L357" s="82"/>
      <c r="M357" s="82"/>
      <c r="N357" s="77"/>
      <c r="O357" s="84" t="s">
        <v>500</v>
      </c>
      <c r="P357" s="86">
        <v>44020.026562500003</v>
      </c>
      <c r="Q357" s="84" t="s">
        <v>558</v>
      </c>
      <c r="R357" s="87" t="str">
        <f>HYPERLINK("https://community.wayfarer.nianticlabs.com/DISCUSSION/4864/BRINGING-BACK-AMAS/")</f>
        <v>https://community.wayfarer.nianticlabs.com/DISCUSSION/4864/BRINGING-BACK-AMAS/</v>
      </c>
      <c r="S357" s="84" t="s">
        <v>764</v>
      </c>
      <c r="T357" s="84" t="s">
        <v>781</v>
      </c>
      <c r="U357" s="84"/>
      <c r="V357" s="87" t="str">
        <f>HYPERLINK("http://pbs.twimg.com/profile_images/1158233864122224640/1wvxGjQj_normal.jpg")</f>
        <v>http://pbs.twimg.com/profile_images/1158233864122224640/1wvxGjQj_normal.jpg</v>
      </c>
      <c r="W357" s="86">
        <v>44020.026562500003</v>
      </c>
      <c r="X357" s="90">
        <v>44020</v>
      </c>
      <c r="Y357" s="92" t="s">
        <v>927</v>
      </c>
      <c r="Z357" s="87" t="str">
        <f>HYPERLINK("https://twitter.com/tot0mad/status/1280662448022806528")</f>
        <v>https://twitter.com/tot0mad/status/1280662448022806528</v>
      </c>
      <c r="AA357" s="84"/>
      <c r="AB357" s="84"/>
      <c r="AC357" s="92" t="s">
        <v>1346</v>
      </c>
      <c r="AD357" s="84"/>
      <c r="AE357" s="84" t="b">
        <v>0</v>
      </c>
      <c r="AF357" s="84">
        <v>0</v>
      </c>
      <c r="AG357" s="92" t="s">
        <v>1724</v>
      </c>
      <c r="AH357" s="84" t="b">
        <v>0</v>
      </c>
      <c r="AI357" s="84" t="s">
        <v>1753</v>
      </c>
      <c r="AJ357" s="84"/>
      <c r="AK357" s="92" t="s">
        <v>1724</v>
      </c>
      <c r="AL357" s="84" t="b">
        <v>0</v>
      </c>
      <c r="AM357" s="84">
        <v>2</v>
      </c>
      <c r="AN357" s="92" t="s">
        <v>1347</v>
      </c>
      <c r="AO357" s="84" t="s">
        <v>1766</v>
      </c>
      <c r="AP357" s="84" t="b">
        <v>0</v>
      </c>
      <c r="AQ357" s="92" t="s">
        <v>1347</v>
      </c>
      <c r="AR357" s="84" t="s">
        <v>179</v>
      </c>
      <c r="AS357" s="84">
        <v>0</v>
      </c>
      <c r="AT357" s="84">
        <v>0</v>
      </c>
      <c r="AU357" s="84"/>
      <c r="AV357" s="84"/>
      <c r="AW357" s="84"/>
      <c r="AX357" s="84"/>
      <c r="AY357" s="84"/>
      <c r="AZ357" s="84"/>
      <c r="BA357" s="84"/>
      <c r="BB357" s="84"/>
    </row>
    <row r="358" spans="1:54" x14ac:dyDescent="0.2">
      <c r="A358" s="69" t="s">
        <v>267</v>
      </c>
      <c r="B358" s="69" t="s">
        <v>267</v>
      </c>
      <c r="C358" s="70"/>
      <c r="D358" s="71"/>
      <c r="E358" s="72"/>
      <c r="F358" s="73"/>
      <c r="G358" s="70"/>
      <c r="H358" s="74"/>
      <c r="I358" s="75"/>
      <c r="J358" s="75"/>
      <c r="K358" s="36"/>
      <c r="L358" s="82"/>
      <c r="M358" s="82"/>
      <c r="N358" s="77"/>
      <c r="O358" s="84" t="s">
        <v>179</v>
      </c>
      <c r="P358" s="86">
        <v>44020.008935185186</v>
      </c>
      <c r="Q358" s="84" t="s">
        <v>558</v>
      </c>
      <c r="R358" s="87" t="str">
        <f>HYPERLINK("https://community.wayfarer.nianticlabs.com/DISCUSSION/4864/BRINGING-BACK-AMAS/")</f>
        <v>https://community.wayfarer.nianticlabs.com/DISCUSSION/4864/BRINGING-BACK-AMAS/</v>
      </c>
      <c r="S358" s="84" t="s">
        <v>764</v>
      </c>
      <c r="T358" s="84" t="s">
        <v>781</v>
      </c>
      <c r="U358" s="84"/>
      <c r="V358" s="87" t="str">
        <f>HYPERLINK("http://pbs.twimg.com/profile_images/666451250267860993/7xkOeHee_normal.jpg")</f>
        <v>http://pbs.twimg.com/profile_images/666451250267860993/7xkOeHee_normal.jpg</v>
      </c>
      <c r="W358" s="86">
        <v>44020.008935185186</v>
      </c>
      <c r="X358" s="90">
        <v>44020</v>
      </c>
      <c r="Y358" s="92" t="s">
        <v>928</v>
      </c>
      <c r="Z358" s="87" t="str">
        <f>HYPERLINK("https://twitter.com/to1027me/status/1280656057023389698")</f>
        <v>https://twitter.com/to1027me/status/1280656057023389698</v>
      </c>
      <c r="AA358" s="84"/>
      <c r="AB358" s="84"/>
      <c r="AC358" s="92" t="s">
        <v>1347</v>
      </c>
      <c r="AD358" s="84"/>
      <c r="AE358" s="84" t="b">
        <v>0</v>
      </c>
      <c r="AF358" s="84">
        <v>6</v>
      </c>
      <c r="AG358" s="92" t="s">
        <v>1724</v>
      </c>
      <c r="AH358" s="84" t="b">
        <v>0</v>
      </c>
      <c r="AI358" s="84" t="s">
        <v>1753</v>
      </c>
      <c r="AJ358" s="84"/>
      <c r="AK358" s="92" t="s">
        <v>1724</v>
      </c>
      <c r="AL358" s="84" t="b">
        <v>0</v>
      </c>
      <c r="AM358" s="84">
        <v>2</v>
      </c>
      <c r="AN358" s="92" t="s">
        <v>1724</v>
      </c>
      <c r="AO358" s="84" t="s">
        <v>1763</v>
      </c>
      <c r="AP358" s="84" t="b">
        <v>0</v>
      </c>
      <c r="AQ358" s="92" t="s">
        <v>1347</v>
      </c>
      <c r="AR358" s="84" t="s">
        <v>179</v>
      </c>
      <c r="AS358" s="84">
        <v>0</v>
      </c>
      <c r="AT358" s="84">
        <v>0</v>
      </c>
      <c r="AU358" s="84"/>
      <c r="AV358" s="84"/>
      <c r="AW358" s="84"/>
      <c r="AX358" s="84"/>
      <c r="AY358" s="84"/>
      <c r="AZ358" s="84"/>
      <c r="BA358" s="84"/>
      <c r="BB358" s="84"/>
    </row>
    <row r="359" spans="1:54" x14ac:dyDescent="0.2">
      <c r="A359" s="69" t="s">
        <v>265</v>
      </c>
      <c r="B359" s="69" t="s">
        <v>265</v>
      </c>
      <c r="C359" s="70"/>
      <c r="D359" s="71"/>
      <c r="E359" s="72"/>
      <c r="F359" s="73"/>
      <c r="G359" s="70"/>
      <c r="H359" s="74"/>
      <c r="I359" s="75"/>
      <c r="J359" s="75"/>
      <c r="K359" s="36"/>
      <c r="L359" s="82"/>
      <c r="M359" s="82"/>
      <c r="N359" s="77"/>
      <c r="O359" s="84" t="s">
        <v>179</v>
      </c>
      <c r="P359" s="86">
        <v>44019.911597222221</v>
      </c>
      <c r="Q359" s="84" t="s">
        <v>557</v>
      </c>
      <c r="R359" s="87" t="str">
        <f>HYPERLINK("https://www.instagram.com/p/CCW0xRzj4cB/?igshid=1hns57mlezcka")</f>
        <v>https://www.instagram.com/p/CCW0xRzj4cB/?igshid=1hns57mlezcka</v>
      </c>
      <c r="S359" s="84" t="s">
        <v>759</v>
      </c>
      <c r="T359" s="84" t="s">
        <v>804</v>
      </c>
      <c r="U359" s="84"/>
      <c r="V359" s="87" t="str">
        <f>HYPERLINK("http://pbs.twimg.com/profile_images/2777648092/782d85972553269c510517a2708132d8_normal.jpeg")</f>
        <v>http://pbs.twimg.com/profile_images/2777648092/782d85972553269c510517a2708132d8_normal.jpeg</v>
      </c>
      <c r="W359" s="86">
        <v>44019.911597222221</v>
      </c>
      <c r="X359" s="90">
        <v>44019</v>
      </c>
      <c r="Y359" s="92" t="s">
        <v>926</v>
      </c>
      <c r="Z359" s="87" t="str">
        <f>HYPERLINK("https://twitter.com/tucentrooptico/status/1280620785640460289")</f>
        <v>https://twitter.com/tucentrooptico/status/1280620785640460289</v>
      </c>
      <c r="AA359" s="84"/>
      <c r="AB359" s="84"/>
      <c r="AC359" s="92" t="s">
        <v>1345</v>
      </c>
      <c r="AD359" s="84"/>
      <c r="AE359" s="84" t="b">
        <v>0</v>
      </c>
      <c r="AF359" s="84">
        <v>0</v>
      </c>
      <c r="AG359" s="92" t="s">
        <v>1724</v>
      </c>
      <c r="AH359" s="84" t="b">
        <v>0</v>
      </c>
      <c r="AI359" s="84" t="s">
        <v>1754</v>
      </c>
      <c r="AJ359" s="84"/>
      <c r="AK359" s="92" t="s">
        <v>1724</v>
      </c>
      <c r="AL359" s="84" t="b">
        <v>0</v>
      </c>
      <c r="AM359" s="84">
        <v>0</v>
      </c>
      <c r="AN359" s="92" t="s">
        <v>1724</v>
      </c>
      <c r="AO359" s="84" t="s">
        <v>1771</v>
      </c>
      <c r="AP359" s="84" t="b">
        <v>0</v>
      </c>
      <c r="AQ359" s="92" t="s">
        <v>1345</v>
      </c>
      <c r="AR359" s="84" t="s">
        <v>179</v>
      </c>
      <c r="AS359" s="84">
        <v>0</v>
      </c>
      <c r="AT359" s="84">
        <v>0</v>
      </c>
      <c r="AU359" s="84"/>
      <c r="AV359" s="84"/>
      <c r="AW359" s="84"/>
      <c r="AX359" s="84"/>
      <c r="AY359" s="84"/>
      <c r="AZ359" s="84"/>
      <c r="BA359" s="84"/>
      <c r="BB359" s="84"/>
    </row>
    <row r="360" spans="1:54" x14ac:dyDescent="0.2">
      <c r="A360" s="69" t="s">
        <v>409</v>
      </c>
      <c r="B360" s="69" t="s">
        <v>409</v>
      </c>
      <c r="C360" s="70"/>
      <c r="D360" s="71"/>
      <c r="E360" s="72"/>
      <c r="F360" s="73"/>
      <c r="G360" s="70"/>
      <c r="H360" s="74"/>
      <c r="I360" s="75"/>
      <c r="J360" s="75"/>
      <c r="K360" s="36"/>
      <c r="L360" s="82"/>
      <c r="M360" s="82"/>
      <c r="N360" s="77"/>
      <c r="O360" s="84" t="s">
        <v>179</v>
      </c>
      <c r="P360" s="86">
        <v>44019.90861111111</v>
      </c>
      <c r="Q360" s="84" t="s">
        <v>662</v>
      </c>
      <c r="R360" s="84"/>
      <c r="S360" s="84"/>
      <c r="T360" s="84" t="s">
        <v>781</v>
      </c>
      <c r="U360" s="84"/>
      <c r="V360" s="87" t="str">
        <f>HYPERLINK("http://pbs.twimg.com/profile_images/1236668333157519361/R8t7DbMO_normal.jpg")</f>
        <v>http://pbs.twimg.com/profile_images/1236668333157519361/R8t7DbMO_normal.jpg</v>
      </c>
      <c r="W360" s="86">
        <v>44019.90861111111</v>
      </c>
      <c r="X360" s="90">
        <v>44019</v>
      </c>
      <c r="Y360" s="92" t="s">
        <v>1166</v>
      </c>
      <c r="Z360" s="87" t="str">
        <f>HYPERLINK("https://twitter.com/sinxsan/status/1280619702448865281")</f>
        <v>https://twitter.com/sinxsan/status/1280619702448865281</v>
      </c>
      <c r="AA360" s="84"/>
      <c r="AB360" s="84"/>
      <c r="AC360" s="92" t="s">
        <v>1587</v>
      </c>
      <c r="AD360" s="92" t="s">
        <v>1585</v>
      </c>
      <c r="AE360" s="84" t="b">
        <v>0</v>
      </c>
      <c r="AF360" s="84">
        <v>5</v>
      </c>
      <c r="AG360" s="92" t="s">
        <v>1740</v>
      </c>
      <c r="AH360" s="84" t="b">
        <v>0</v>
      </c>
      <c r="AI360" s="84" t="s">
        <v>1750</v>
      </c>
      <c r="AJ360" s="84"/>
      <c r="AK360" s="92" t="s">
        <v>1724</v>
      </c>
      <c r="AL360" s="84" t="b">
        <v>0</v>
      </c>
      <c r="AM360" s="84">
        <v>1</v>
      </c>
      <c r="AN360" s="92" t="s">
        <v>1724</v>
      </c>
      <c r="AO360" s="84" t="s">
        <v>1763</v>
      </c>
      <c r="AP360" s="84" t="b">
        <v>0</v>
      </c>
      <c r="AQ360" s="92" t="s">
        <v>1585</v>
      </c>
      <c r="AR360" s="84" t="s">
        <v>179</v>
      </c>
      <c r="AS360" s="84">
        <v>0</v>
      </c>
      <c r="AT360" s="84">
        <v>0</v>
      </c>
      <c r="AU360" s="84"/>
      <c r="AV360" s="84"/>
      <c r="AW360" s="84"/>
      <c r="AX360" s="84"/>
      <c r="AY360" s="84"/>
      <c r="AZ360" s="84"/>
      <c r="BA360" s="84"/>
      <c r="BB360" s="84"/>
    </row>
    <row r="361" spans="1:54" x14ac:dyDescent="0.2">
      <c r="A361" s="69" t="s">
        <v>400</v>
      </c>
      <c r="B361" s="69" t="s">
        <v>400</v>
      </c>
      <c r="C361" s="70"/>
      <c r="D361" s="71"/>
      <c r="E361" s="72"/>
      <c r="F361" s="73"/>
      <c r="G361" s="70"/>
      <c r="H361" s="74"/>
      <c r="I361" s="75"/>
      <c r="J361" s="75"/>
      <c r="K361" s="36"/>
      <c r="L361" s="82"/>
      <c r="M361" s="82"/>
      <c r="N361" s="77"/>
      <c r="O361" s="84" t="s">
        <v>179</v>
      </c>
      <c r="P361" s="86">
        <v>44019.812800925924</v>
      </c>
      <c r="Q361" s="84" t="s">
        <v>586</v>
      </c>
      <c r="R361" s="87" t="str">
        <f>HYPERLINK("https://m.facebook.com/anunknownkraftsman")</f>
        <v>https://m.facebook.com/anunknownkraftsman</v>
      </c>
      <c r="S361" s="84" t="s">
        <v>772</v>
      </c>
      <c r="T361" s="84" t="s">
        <v>842</v>
      </c>
      <c r="U361" s="84"/>
      <c r="V361" s="87" t="str">
        <f>HYPERLINK("http://pbs.twimg.com/profile_images/1142556013167632391/vMubfzN-_normal.jpg")</f>
        <v>http://pbs.twimg.com/profile_images/1142556013167632391/vMubfzN-_normal.jpg</v>
      </c>
      <c r="W361" s="86">
        <v>44019.812800925924</v>
      </c>
      <c r="X361" s="90">
        <v>44019</v>
      </c>
      <c r="Y361" s="92" t="s">
        <v>1133</v>
      </c>
      <c r="Z361" s="87" t="str">
        <f>HYPERLINK("https://twitter.com/hc_mmoor1868/status/1280584983497842688")</f>
        <v>https://twitter.com/hc_mmoor1868/status/1280584983497842688</v>
      </c>
      <c r="AA361" s="84"/>
      <c r="AB361" s="84"/>
      <c r="AC361" s="92" t="s">
        <v>1552</v>
      </c>
      <c r="AD361" s="84"/>
      <c r="AE361" s="84" t="b">
        <v>0</v>
      </c>
      <c r="AF361" s="84">
        <v>0</v>
      </c>
      <c r="AG361" s="92" t="s">
        <v>1724</v>
      </c>
      <c r="AH361" s="84" t="b">
        <v>0</v>
      </c>
      <c r="AI361" s="84" t="s">
        <v>1751</v>
      </c>
      <c r="AJ361" s="84"/>
      <c r="AK361" s="92" t="s">
        <v>1724</v>
      </c>
      <c r="AL361" s="84" t="b">
        <v>0</v>
      </c>
      <c r="AM361" s="84">
        <v>0</v>
      </c>
      <c r="AN361" s="92" t="s">
        <v>1724</v>
      </c>
      <c r="AO361" s="84" t="s">
        <v>1783</v>
      </c>
      <c r="AP361" s="84" t="b">
        <v>0</v>
      </c>
      <c r="AQ361" s="92" t="s">
        <v>1552</v>
      </c>
      <c r="AR361" s="84" t="s">
        <v>179</v>
      </c>
      <c r="AS361" s="84">
        <v>0</v>
      </c>
      <c r="AT361" s="84">
        <v>0</v>
      </c>
      <c r="AU361" s="84"/>
      <c r="AV361" s="84"/>
      <c r="AW361" s="84"/>
      <c r="AX361" s="84"/>
      <c r="AY361" s="84"/>
      <c r="AZ361" s="84"/>
      <c r="BA361" s="84"/>
      <c r="BB361" s="84"/>
    </row>
    <row r="362" spans="1:54" x14ac:dyDescent="0.2">
      <c r="A362" s="69" t="s">
        <v>264</v>
      </c>
      <c r="B362" s="69" t="s">
        <v>264</v>
      </c>
      <c r="C362" s="70"/>
      <c r="D362" s="71"/>
      <c r="E362" s="72"/>
      <c r="F362" s="73"/>
      <c r="G362" s="70"/>
      <c r="H362" s="74"/>
      <c r="I362" s="75"/>
      <c r="J362" s="75"/>
      <c r="K362" s="36"/>
      <c r="L362" s="82"/>
      <c r="M362" s="82"/>
      <c r="N362" s="77"/>
      <c r="O362" s="84" t="s">
        <v>179</v>
      </c>
      <c r="P362" s="86">
        <v>44019.812627314815</v>
      </c>
      <c r="Q362" s="84" t="s">
        <v>556</v>
      </c>
      <c r="R362" s="84"/>
      <c r="S362" s="84"/>
      <c r="T362" s="84" t="s">
        <v>803</v>
      </c>
      <c r="U362" s="87" t="str">
        <f>HYPERLINK("https://pbs.twimg.com/ext_tw_video_thumb/1280584576402894848/pu/img/rS7QPx_6KeGvMRer.jpg")</f>
        <v>https://pbs.twimg.com/ext_tw_video_thumb/1280584576402894848/pu/img/rS7QPx_6KeGvMRer.jpg</v>
      </c>
      <c r="V362" s="87" t="str">
        <f>HYPERLINK("https://pbs.twimg.com/ext_tw_video_thumb/1280584576402894848/pu/img/rS7QPx_6KeGvMRer.jpg")</f>
        <v>https://pbs.twimg.com/ext_tw_video_thumb/1280584576402894848/pu/img/rS7QPx_6KeGvMRer.jpg</v>
      </c>
      <c r="W362" s="86">
        <v>44019.812627314815</v>
      </c>
      <c r="X362" s="90">
        <v>44019</v>
      </c>
      <c r="Y362" s="92" t="s">
        <v>925</v>
      </c>
      <c r="Z362" s="87" t="str">
        <f>HYPERLINK("https://twitter.com/peteswiftysan/status/1280584918469423105")</f>
        <v>https://twitter.com/peteswiftysan/status/1280584918469423105</v>
      </c>
      <c r="AA362" s="84"/>
      <c r="AB362" s="84"/>
      <c r="AC362" s="92" t="s">
        <v>1344</v>
      </c>
      <c r="AD362" s="92" t="s">
        <v>1707</v>
      </c>
      <c r="AE362" s="84" t="b">
        <v>0</v>
      </c>
      <c r="AF362" s="84">
        <v>2</v>
      </c>
      <c r="AG362" s="92" t="s">
        <v>1730</v>
      </c>
      <c r="AH362" s="84" t="b">
        <v>0</v>
      </c>
      <c r="AI362" s="84" t="s">
        <v>1753</v>
      </c>
      <c r="AJ362" s="84"/>
      <c r="AK362" s="92" t="s">
        <v>1724</v>
      </c>
      <c r="AL362" s="84" t="b">
        <v>0</v>
      </c>
      <c r="AM362" s="84">
        <v>0</v>
      </c>
      <c r="AN362" s="92" t="s">
        <v>1724</v>
      </c>
      <c r="AO362" s="84" t="s">
        <v>1763</v>
      </c>
      <c r="AP362" s="84" t="b">
        <v>0</v>
      </c>
      <c r="AQ362" s="92" t="s">
        <v>1707</v>
      </c>
      <c r="AR362" s="84" t="s">
        <v>179</v>
      </c>
      <c r="AS362" s="84">
        <v>0</v>
      </c>
      <c r="AT362" s="84">
        <v>0</v>
      </c>
      <c r="AU362" s="84"/>
      <c r="AV362" s="84"/>
      <c r="AW362" s="84"/>
      <c r="AX362" s="84"/>
      <c r="AY362" s="84"/>
      <c r="AZ362" s="84"/>
      <c r="BA362" s="84"/>
      <c r="BB362" s="84"/>
    </row>
    <row r="363" spans="1:54" x14ac:dyDescent="0.2">
      <c r="A363" s="69" t="s">
        <v>262</v>
      </c>
      <c r="B363" s="69" t="s">
        <v>312</v>
      </c>
      <c r="C363" s="70"/>
      <c r="D363" s="71"/>
      <c r="E363" s="72"/>
      <c r="F363" s="73"/>
      <c r="G363" s="70"/>
      <c r="H363" s="74"/>
      <c r="I363" s="75"/>
      <c r="J363" s="75"/>
      <c r="K363" s="36"/>
      <c r="L363" s="82"/>
      <c r="M363" s="82"/>
      <c r="N363" s="77"/>
      <c r="O363" s="84" t="s">
        <v>500</v>
      </c>
      <c r="P363" s="86">
        <v>44019.658703703702</v>
      </c>
      <c r="Q363" s="84" t="s">
        <v>552</v>
      </c>
      <c r="R363" s="84"/>
      <c r="S363" s="84"/>
      <c r="T363" s="84" t="s">
        <v>781</v>
      </c>
      <c r="U363" s="84"/>
      <c r="V363" s="87" t="str">
        <f>HYPERLINK("http://pbs.twimg.com/profile_images/3149762076/db15cdaa55f48387ae703c4857ea7ed0_normal.jpeg")</f>
        <v>http://pbs.twimg.com/profile_images/3149762076/db15cdaa55f48387ae703c4857ea7ed0_normal.jpeg</v>
      </c>
      <c r="W363" s="86">
        <v>44019.658703703702</v>
      </c>
      <c r="X363" s="90">
        <v>44019</v>
      </c>
      <c r="Y363" s="92" t="s">
        <v>920</v>
      </c>
      <c r="Z363" s="87" t="str">
        <f>HYPERLINK("https://twitter.com/pollinisation/status/1280529138097553410")</f>
        <v>https://twitter.com/pollinisation/status/1280529138097553410</v>
      </c>
      <c r="AA363" s="84"/>
      <c r="AB363" s="84"/>
      <c r="AC363" s="92" t="s">
        <v>1339</v>
      </c>
      <c r="AD363" s="84"/>
      <c r="AE363" s="84" t="b">
        <v>0</v>
      </c>
      <c r="AF363" s="84">
        <v>0</v>
      </c>
      <c r="AG363" s="92" t="s">
        <v>1724</v>
      </c>
      <c r="AH363" s="84" t="b">
        <v>0</v>
      </c>
      <c r="AI363" s="84" t="s">
        <v>1751</v>
      </c>
      <c r="AJ363" s="84"/>
      <c r="AK363" s="92" t="s">
        <v>1724</v>
      </c>
      <c r="AL363" s="84" t="b">
        <v>0</v>
      </c>
      <c r="AM363" s="84">
        <v>3</v>
      </c>
      <c r="AN363" s="92" t="s">
        <v>1399</v>
      </c>
      <c r="AO363" s="84" t="s">
        <v>1766</v>
      </c>
      <c r="AP363" s="84" t="b">
        <v>0</v>
      </c>
      <c r="AQ363" s="92" t="s">
        <v>1399</v>
      </c>
      <c r="AR363" s="84" t="s">
        <v>179</v>
      </c>
      <c r="AS363" s="84">
        <v>0</v>
      </c>
      <c r="AT363" s="84">
        <v>0</v>
      </c>
      <c r="AU363" s="84"/>
      <c r="AV363" s="84"/>
      <c r="AW363" s="84"/>
      <c r="AX363" s="84"/>
      <c r="AY363" s="84"/>
      <c r="AZ363" s="84"/>
      <c r="BA363" s="84"/>
      <c r="BB363" s="84"/>
    </row>
    <row r="364" spans="1:54" x14ac:dyDescent="0.2">
      <c r="A364" s="69" t="s">
        <v>344</v>
      </c>
      <c r="B364" s="69" t="s">
        <v>344</v>
      </c>
      <c r="C364" s="70"/>
      <c r="D364" s="71"/>
      <c r="E364" s="72"/>
      <c r="F364" s="73"/>
      <c r="G364" s="70"/>
      <c r="H364" s="74"/>
      <c r="I364" s="75"/>
      <c r="J364" s="75"/>
      <c r="K364" s="36"/>
      <c r="L364" s="82"/>
      <c r="M364" s="82"/>
      <c r="N364" s="77"/>
      <c r="O364" s="84" t="s">
        <v>179</v>
      </c>
      <c r="P364" s="86">
        <v>44019.639363425929</v>
      </c>
      <c r="Q364" s="84" t="s">
        <v>646</v>
      </c>
      <c r="R364" s="84"/>
      <c r="S364" s="84"/>
      <c r="T364" s="84" t="s">
        <v>781</v>
      </c>
      <c r="U364" s="87" t="str">
        <f>HYPERLINK("https://pbs.twimg.com/media/EcVUFtOVAAAlCsC.jpg")</f>
        <v>https://pbs.twimg.com/media/EcVUFtOVAAAlCsC.jpg</v>
      </c>
      <c r="V364" s="87" t="str">
        <f>HYPERLINK("https://pbs.twimg.com/media/EcVUFtOVAAAlCsC.jpg")</f>
        <v>https://pbs.twimg.com/media/EcVUFtOVAAAlCsC.jpg</v>
      </c>
      <c r="W364" s="86">
        <v>44019.639363425929</v>
      </c>
      <c r="X364" s="90">
        <v>44019</v>
      </c>
      <c r="Y364" s="92" t="s">
        <v>1043</v>
      </c>
      <c r="Z364" s="87" t="str">
        <f>HYPERLINK("https://twitter.com/radiusbit/status/1280522130384318464")</f>
        <v>https://twitter.com/radiusbit/status/1280522130384318464</v>
      </c>
      <c r="AA364" s="84"/>
      <c r="AB364" s="84"/>
      <c r="AC364" s="92" t="s">
        <v>1462</v>
      </c>
      <c r="AD364" s="84"/>
      <c r="AE364" s="84" t="b">
        <v>0</v>
      </c>
      <c r="AF364" s="84">
        <v>3</v>
      </c>
      <c r="AG364" s="92" t="s">
        <v>1724</v>
      </c>
      <c r="AH364" s="84" t="b">
        <v>0</v>
      </c>
      <c r="AI364" s="84" t="s">
        <v>1750</v>
      </c>
      <c r="AJ364" s="84"/>
      <c r="AK364" s="92" t="s">
        <v>1724</v>
      </c>
      <c r="AL364" s="84" t="b">
        <v>0</v>
      </c>
      <c r="AM364" s="84">
        <v>1</v>
      </c>
      <c r="AN364" s="92" t="s">
        <v>1724</v>
      </c>
      <c r="AO364" s="84" t="s">
        <v>1763</v>
      </c>
      <c r="AP364" s="84" t="b">
        <v>0</v>
      </c>
      <c r="AQ364" s="92" t="s">
        <v>1462</v>
      </c>
      <c r="AR364" s="84" t="s">
        <v>179</v>
      </c>
      <c r="AS364" s="84">
        <v>0</v>
      </c>
      <c r="AT364" s="84">
        <v>0</v>
      </c>
      <c r="AU364" s="84"/>
      <c r="AV364" s="84"/>
      <c r="AW364" s="84"/>
      <c r="AX364" s="84"/>
      <c r="AY364" s="84"/>
      <c r="AZ364" s="84"/>
      <c r="BA364" s="84"/>
      <c r="BB364" s="84"/>
    </row>
    <row r="365" spans="1:54" x14ac:dyDescent="0.2">
      <c r="A365" s="69" t="s">
        <v>409</v>
      </c>
      <c r="B365" s="69" t="s">
        <v>409</v>
      </c>
      <c r="C365" s="70"/>
      <c r="D365" s="71"/>
      <c r="E365" s="72"/>
      <c r="F365" s="73"/>
      <c r="G365" s="70"/>
      <c r="H365" s="74"/>
      <c r="I365" s="75"/>
      <c r="J365" s="75"/>
      <c r="K365" s="36"/>
      <c r="L365" s="82"/>
      <c r="M365" s="82"/>
      <c r="N365" s="77"/>
      <c r="O365" s="84" t="s">
        <v>179</v>
      </c>
      <c r="P365" s="86">
        <v>44019.586909722224</v>
      </c>
      <c r="Q365" s="84" t="s">
        <v>561</v>
      </c>
      <c r="R365" s="84"/>
      <c r="S365" s="84"/>
      <c r="T365" s="84" t="s">
        <v>781</v>
      </c>
      <c r="U365" s="84"/>
      <c r="V365" s="87" t="str">
        <f>HYPERLINK("http://pbs.twimg.com/profile_images/1236668333157519361/R8t7DbMO_normal.jpg")</f>
        <v>http://pbs.twimg.com/profile_images/1236668333157519361/R8t7DbMO_normal.jpg</v>
      </c>
      <c r="W365" s="86">
        <v>44019.586909722224</v>
      </c>
      <c r="X365" s="90">
        <v>44019</v>
      </c>
      <c r="Y365" s="92" t="s">
        <v>1165</v>
      </c>
      <c r="Z365" s="87" t="str">
        <f>HYPERLINK("https://twitter.com/sinxsan/status/1280503119902900228")</f>
        <v>https://twitter.com/sinxsan/status/1280503119902900228</v>
      </c>
      <c r="AA365" s="84"/>
      <c r="AB365" s="84"/>
      <c r="AC365" s="92" t="s">
        <v>1586</v>
      </c>
      <c r="AD365" s="84"/>
      <c r="AE365" s="84" t="b">
        <v>0</v>
      </c>
      <c r="AF365" s="84">
        <v>48</v>
      </c>
      <c r="AG365" s="92" t="s">
        <v>1724</v>
      </c>
      <c r="AH365" s="84" t="b">
        <v>0</v>
      </c>
      <c r="AI365" s="84" t="s">
        <v>1750</v>
      </c>
      <c r="AJ365" s="84"/>
      <c r="AK365" s="92" t="s">
        <v>1724</v>
      </c>
      <c r="AL365" s="84" t="b">
        <v>0</v>
      </c>
      <c r="AM365" s="84">
        <v>1</v>
      </c>
      <c r="AN365" s="92" t="s">
        <v>1724</v>
      </c>
      <c r="AO365" s="84" t="s">
        <v>1766</v>
      </c>
      <c r="AP365" s="84" t="b">
        <v>0</v>
      </c>
      <c r="AQ365" s="92" t="s">
        <v>1586</v>
      </c>
      <c r="AR365" s="84" t="s">
        <v>179</v>
      </c>
      <c r="AS365" s="84">
        <v>0</v>
      </c>
      <c r="AT365" s="84">
        <v>0</v>
      </c>
      <c r="AU365" s="84"/>
      <c r="AV365" s="84"/>
      <c r="AW365" s="84"/>
      <c r="AX365" s="84"/>
      <c r="AY365" s="84"/>
      <c r="AZ365" s="84"/>
      <c r="BA365" s="84"/>
      <c r="BB365" s="84"/>
    </row>
    <row r="366" spans="1:54" x14ac:dyDescent="0.2">
      <c r="A366" s="69" t="s">
        <v>439</v>
      </c>
      <c r="B366" s="69" t="s">
        <v>439</v>
      </c>
      <c r="C366" s="70"/>
      <c r="D366" s="71"/>
      <c r="E366" s="72"/>
      <c r="F366" s="73"/>
      <c r="G366" s="70"/>
      <c r="H366" s="74"/>
      <c r="I366" s="75"/>
      <c r="J366" s="75"/>
      <c r="K366" s="36"/>
      <c r="L366" s="82"/>
      <c r="M366" s="82"/>
      <c r="N366" s="77"/>
      <c r="O366" s="84" t="s">
        <v>179</v>
      </c>
      <c r="P366" s="86">
        <v>44019.551435185182</v>
      </c>
      <c r="Q366" s="84" t="s">
        <v>730</v>
      </c>
      <c r="R366" s="84"/>
      <c r="S366" s="84"/>
      <c r="T366" s="84" t="s">
        <v>789</v>
      </c>
      <c r="U366" s="87" t="str">
        <f>HYPERLINK("https://pbs.twimg.com/media/EcU3GwyVcAEPnVU.jpg")</f>
        <v>https://pbs.twimg.com/media/EcU3GwyVcAEPnVU.jpg</v>
      </c>
      <c r="V366" s="87" t="str">
        <f>HYPERLINK("https://pbs.twimg.com/media/EcU3GwyVcAEPnVU.jpg")</f>
        <v>https://pbs.twimg.com/media/EcU3GwyVcAEPnVU.jpg</v>
      </c>
      <c r="W366" s="86">
        <v>44019.551435185182</v>
      </c>
      <c r="X366" s="90">
        <v>44019</v>
      </c>
      <c r="Y366" s="92" t="s">
        <v>1220</v>
      </c>
      <c r="Z366" s="87" t="str">
        <f>HYPERLINK("https://twitter.com/pokemon_fumi/status/1280490266525265920")</f>
        <v>https://twitter.com/pokemon_fumi/status/1280490266525265920</v>
      </c>
      <c r="AA366" s="84"/>
      <c r="AB366" s="84"/>
      <c r="AC366" s="92" t="s">
        <v>1641</v>
      </c>
      <c r="AD366" s="84"/>
      <c r="AE366" s="84" t="b">
        <v>0</v>
      </c>
      <c r="AF366" s="84">
        <v>1</v>
      </c>
      <c r="AG366" s="92" t="s">
        <v>1724</v>
      </c>
      <c r="AH366" s="84" t="b">
        <v>0</v>
      </c>
      <c r="AI366" s="84" t="s">
        <v>1750</v>
      </c>
      <c r="AJ366" s="84"/>
      <c r="AK366" s="92" t="s">
        <v>1724</v>
      </c>
      <c r="AL366" s="84" t="b">
        <v>0</v>
      </c>
      <c r="AM366" s="84">
        <v>0</v>
      </c>
      <c r="AN366" s="92" t="s">
        <v>1724</v>
      </c>
      <c r="AO366" s="84" t="s">
        <v>1764</v>
      </c>
      <c r="AP366" s="84" t="b">
        <v>0</v>
      </c>
      <c r="AQ366" s="92" t="s">
        <v>1641</v>
      </c>
      <c r="AR366" s="84" t="s">
        <v>179</v>
      </c>
      <c r="AS366" s="84">
        <v>0</v>
      </c>
      <c r="AT366" s="84">
        <v>0</v>
      </c>
      <c r="AU366" s="84"/>
      <c r="AV366" s="84"/>
      <c r="AW366" s="84"/>
      <c r="AX366" s="84"/>
      <c r="AY366" s="84"/>
      <c r="AZ366" s="84"/>
      <c r="BA366" s="84"/>
      <c r="BB366" s="84"/>
    </row>
    <row r="367" spans="1:54" x14ac:dyDescent="0.2">
      <c r="A367" s="69" t="s">
        <v>359</v>
      </c>
      <c r="B367" s="69" t="s">
        <v>359</v>
      </c>
      <c r="C367" s="70"/>
      <c r="D367" s="71"/>
      <c r="E367" s="72"/>
      <c r="F367" s="73"/>
      <c r="G367" s="70"/>
      <c r="H367" s="74"/>
      <c r="I367" s="75"/>
      <c r="J367" s="75"/>
      <c r="K367" s="36"/>
      <c r="L367" s="82"/>
      <c r="M367" s="82"/>
      <c r="N367" s="77"/>
      <c r="O367" s="84" t="s">
        <v>179</v>
      </c>
      <c r="P367" s="86">
        <v>44019.548101851855</v>
      </c>
      <c r="Q367" s="84" t="s">
        <v>670</v>
      </c>
      <c r="R367" s="84"/>
      <c r="S367" s="84"/>
      <c r="T367" s="84" t="s">
        <v>781</v>
      </c>
      <c r="U367" s="87" t="str">
        <f>HYPERLINK("https://pbs.twimg.com/media/EcU2Ab2VAAAk2Qg.jpg")</f>
        <v>https://pbs.twimg.com/media/EcU2Ab2VAAAk2Qg.jpg</v>
      </c>
      <c r="V367" s="87" t="str">
        <f>HYPERLINK("https://pbs.twimg.com/media/EcU2Ab2VAAAk2Qg.jpg")</f>
        <v>https://pbs.twimg.com/media/EcU2Ab2VAAAk2Qg.jpg</v>
      </c>
      <c r="W367" s="86">
        <v>44019.548101851855</v>
      </c>
      <c r="X367" s="90">
        <v>44019</v>
      </c>
      <c r="Y367" s="92" t="s">
        <v>1079</v>
      </c>
      <c r="Z367" s="87" t="str">
        <f>HYPERLINK("https://twitter.com/hiho_3tafe/status/1280489057580015616")</f>
        <v>https://twitter.com/hiho_3tafe/status/1280489057580015616</v>
      </c>
      <c r="AA367" s="84"/>
      <c r="AB367" s="84"/>
      <c r="AC367" s="92" t="s">
        <v>1498</v>
      </c>
      <c r="AD367" s="84"/>
      <c r="AE367" s="84" t="b">
        <v>0</v>
      </c>
      <c r="AF367" s="84">
        <v>7</v>
      </c>
      <c r="AG367" s="92" t="s">
        <v>1724</v>
      </c>
      <c r="AH367" s="84" t="b">
        <v>0</v>
      </c>
      <c r="AI367" s="84" t="s">
        <v>1750</v>
      </c>
      <c r="AJ367" s="84"/>
      <c r="AK367" s="92" t="s">
        <v>1724</v>
      </c>
      <c r="AL367" s="84" t="b">
        <v>0</v>
      </c>
      <c r="AM367" s="84">
        <v>0</v>
      </c>
      <c r="AN367" s="92" t="s">
        <v>1724</v>
      </c>
      <c r="AO367" s="84" t="s">
        <v>1763</v>
      </c>
      <c r="AP367" s="84" t="b">
        <v>0</v>
      </c>
      <c r="AQ367" s="92" t="s">
        <v>1498</v>
      </c>
      <c r="AR367" s="84" t="s">
        <v>179</v>
      </c>
      <c r="AS367" s="84">
        <v>0</v>
      </c>
      <c r="AT367" s="84">
        <v>0</v>
      </c>
      <c r="AU367" s="84"/>
      <c r="AV367" s="84"/>
      <c r="AW367" s="84"/>
      <c r="AX367" s="84"/>
      <c r="AY367" s="84"/>
      <c r="AZ367" s="84"/>
      <c r="BA367" s="84"/>
      <c r="BB367" s="84"/>
    </row>
    <row r="368" spans="1:54" x14ac:dyDescent="0.2">
      <c r="A368" s="69" t="s">
        <v>357</v>
      </c>
      <c r="B368" s="69" t="s">
        <v>409</v>
      </c>
      <c r="C368" s="70"/>
      <c r="D368" s="71"/>
      <c r="E368" s="72"/>
      <c r="F368" s="73"/>
      <c r="G368" s="70"/>
      <c r="H368" s="74"/>
      <c r="I368" s="75"/>
      <c r="J368" s="75"/>
      <c r="K368" s="36"/>
      <c r="L368" s="82"/>
      <c r="M368" s="82"/>
      <c r="N368" s="77"/>
      <c r="O368" s="84" t="s">
        <v>500</v>
      </c>
      <c r="P368" s="86">
        <v>44019.509745370371</v>
      </c>
      <c r="Q368" s="84" t="s">
        <v>661</v>
      </c>
      <c r="R368" s="84"/>
      <c r="S368" s="84"/>
      <c r="T368" s="84"/>
      <c r="U368" s="84"/>
      <c r="V368" s="87" t="str">
        <f>HYPERLINK("http://pbs.twimg.com/profile_images/914368413673259009/gmggw-BO_normal.jpg")</f>
        <v>http://pbs.twimg.com/profile_images/914368413673259009/gmggw-BO_normal.jpg</v>
      </c>
      <c r="W368" s="86">
        <v>44019.509745370371</v>
      </c>
      <c r="X368" s="90">
        <v>44019</v>
      </c>
      <c r="Y368" s="92" t="s">
        <v>1070</v>
      </c>
      <c r="Z368" s="87" t="str">
        <f>HYPERLINK("https://twitter.com/magicalthorn/status/1280475159577587713")</f>
        <v>https://twitter.com/magicalthorn/status/1280475159577587713</v>
      </c>
      <c r="AA368" s="84"/>
      <c r="AB368" s="84"/>
      <c r="AC368" s="92" t="s">
        <v>1489</v>
      </c>
      <c r="AD368" s="84"/>
      <c r="AE368" s="84" t="b">
        <v>0</v>
      </c>
      <c r="AF368" s="84">
        <v>0</v>
      </c>
      <c r="AG368" s="92" t="s">
        <v>1724</v>
      </c>
      <c r="AH368" s="84" t="b">
        <v>0</v>
      </c>
      <c r="AI368" s="84" t="s">
        <v>1750</v>
      </c>
      <c r="AJ368" s="84"/>
      <c r="AK368" s="92" t="s">
        <v>1724</v>
      </c>
      <c r="AL368" s="84" t="b">
        <v>0</v>
      </c>
      <c r="AM368" s="84">
        <v>1</v>
      </c>
      <c r="AN368" s="92" t="s">
        <v>1583</v>
      </c>
      <c r="AO368" s="84" t="s">
        <v>1766</v>
      </c>
      <c r="AP368" s="84" t="b">
        <v>0</v>
      </c>
      <c r="AQ368" s="92" t="s">
        <v>1583</v>
      </c>
      <c r="AR368" s="84" t="s">
        <v>179</v>
      </c>
      <c r="AS368" s="84">
        <v>0</v>
      </c>
      <c r="AT368" s="84">
        <v>0</v>
      </c>
      <c r="AU368" s="84"/>
      <c r="AV368" s="84"/>
      <c r="AW368" s="84"/>
      <c r="AX368" s="84"/>
      <c r="AY368" s="84"/>
      <c r="AZ368" s="84"/>
      <c r="BA368" s="84"/>
      <c r="BB368" s="84"/>
    </row>
    <row r="369" spans="1:54" x14ac:dyDescent="0.2">
      <c r="A369" s="69" t="s">
        <v>357</v>
      </c>
      <c r="B369" s="69" t="s">
        <v>409</v>
      </c>
      <c r="C369" s="70"/>
      <c r="D369" s="71"/>
      <c r="E369" s="72"/>
      <c r="F369" s="73"/>
      <c r="G369" s="70"/>
      <c r="H369" s="74"/>
      <c r="I369" s="75"/>
      <c r="J369" s="75"/>
      <c r="K369" s="36"/>
      <c r="L369" s="82"/>
      <c r="M369" s="82"/>
      <c r="N369" s="77"/>
      <c r="O369" s="84" t="s">
        <v>500</v>
      </c>
      <c r="P369" s="86">
        <v>44019.509664351855</v>
      </c>
      <c r="Q369" s="84" t="s">
        <v>541</v>
      </c>
      <c r="R369" s="84"/>
      <c r="S369" s="84"/>
      <c r="T369" s="84"/>
      <c r="U369" s="84"/>
      <c r="V369" s="87" t="str">
        <f>HYPERLINK("http://pbs.twimg.com/profile_images/914368413673259009/gmggw-BO_normal.jpg")</f>
        <v>http://pbs.twimg.com/profile_images/914368413673259009/gmggw-BO_normal.jpg</v>
      </c>
      <c r="W369" s="86">
        <v>44019.509664351855</v>
      </c>
      <c r="X369" s="90">
        <v>44019</v>
      </c>
      <c r="Y369" s="92" t="s">
        <v>1069</v>
      </c>
      <c r="Z369" s="87" t="str">
        <f>HYPERLINK("https://twitter.com/magicalthorn/status/1280475127302377472")</f>
        <v>https://twitter.com/magicalthorn/status/1280475127302377472</v>
      </c>
      <c r="AA369" s="84"/>
      <c r="AB369" s="84"/>
      <c r="AC369" s="92" t="s">
        <v>1488</v>
      </c>
      <c r="AD369" s="84"/>
      <c r="AE369" s="84" t="b">
        <v>0</v>
      </c>
      <c r="AF369" s="84">
        <v>0</v>
      </c>
      <c r="AG369" s="92" t="s">
        <v>1724</v>
      </c>
      <c r="AH369" s="84" t="b">
        <v>0</v>
      </c>
      <c r="AI369" s="84" t="s">
        <v>1750</v>
      </c>
      <c r="AJ369" s="84"/>
      <c r="AK369" s="92" t="s">
        <v>1724</v>
      </c>
      <c r="AL369" s="84" t="b">
        <v>0</v>
      </c>
      <c r="AM369" s="84">
        <v>2</v>
      </c>
      <c r="AN369" s="92" t="s">
        <v>1585</v>
      </c>
      <c r="AO369" s="84" t="s">
        <v>1766</v>
      </c>
      <c r="AP369" s="84" t="b">
        <v>0</v>
      </c>
      <c r="AQ369" s="92" t="s">
        <v>1585</v>
      </c>
      <c r="AR369" s="84" t="s">
        <v>179</v>
      </c>
      <c r="AS369" s="84">
        <v>0</v>
      </c>
      <c r="AT369" s="84">
        <v>0</v>
      </c>
      <c r="AU369" s="84"/>
      <c r="AV369" s="84"/>
      <c r="AW369" s="84"/>
      <c r="AX369" s="84"/>
      <c r="AY369" s="84"/>
      <c r="AZ369" s="84"/>
      <c r="BA369" s="84"/>
      <c r="BB369" s="84"/>
    </row>
    <row r="370" spans="1:54" x14ac:dyDescent="0.2">
      <c r="A370" s="69" t="s">
        <v>261</v>
      </c>
      <c r="B370" s="69" t="s">
        <v>261</v>
      </c>
      <c r="C370" s="70"/>
      <c r="D370" s="71"/>
      <c r="E370" s="72"/>
      <c r="F370" s="73"/>
      <c r="G370" s="70"/>
      <c r="H370" s="74"/>
      <c r="I370" s="75"/>
      <c r="J370" s="75"/>
      <c r="K370" s="36"/>
      <c r="L370" s="82"/>
      <c r="M370" s="82"/>
      <c r="N370" s="77"/>
      <c r="O370" s="84" t="s">
        <v>179</v>
      </c>
      <c r="P370" s="86">
        <v>44019.509467592594</v>
      </c>
      <c r="Q370" s="84" t="s">
        <v>551</v>
      </c>
      <c r="R370" s="87" t="str">
        <f>HYPERLINK("https://community.wayfarer.nianticlabs.com/discussion/comment/22980")</f>
        <v>https://community.wayfarer.nianticlabs.com/discussion/comment/22980</v>
      </c>
      <c r="S370" s="84" t="s">
        <v>764</v>
      </c>
      <c r="T370" s="84" t="s">
        <v>781</v>
      </c>
      <c r="U370" s="84"/>
      <c r="V370" s="87" t="str">
        <f>HYPERLINK("http://pbs.twimg.com/profile_images/772214712255655936/s6A7GPRO_normal.jpg")</f>
        <v>http://pbs.twimg.com/profile_images/772214712255655936/s6A7GPRO_normal.jpg</v>
      </c>
      <c r="W370" s="86">
        <v>44019.509467592594</v>
      </c>
      <c r="X370" s="90">
        <v>44019</v>
      </c>
      <c r="Y370" s="92" t="s">
        <v>919</v>
      </c>
      <c r="Z370" s="87" t="str">
        <f>HYPERLINK("https://twitter.com/katopsingress/status/1280475057211314176")</f>
        <v>https://twitter.com/katopsingress/status/1280475057211314176</v>
      </c>
      <c r="AA370" s="84"/>
      <c r="AB370" s="84"/>
      <c r="AC370" s="92" t="s">
        <v>1338</v>
      </c>
      <c r="AD370" s="92" t="s">
        <v>1705</v>
      </c>
      <c r="AE370" s="84" t="b">
        <v>0</v>
      </c>
      <c r="AF370" s="84">
        <v>7</v>
      </c>
      <c r="AG370" s="92" t="s">
        <v>1728</v>
      </c>
      <c r="AH370" s="84" t="b">
        <v>0</v>
      </c>
      <c r="AI370" s="84" t="s">
        <v>1750</v>
      </c>
      <c r="AJ370" s="84"/>
      <c r="AK370" s="92" t="s">
        <v>1724</v>
      </c>
      <c r="AL370" s="84" t="b">
        <v>0</v>
      </c>
      <c r="AM370" s="84">
        <v>0</v>
      </c>
      <c r="AN370" s="92" t="s">
        <v>1724</v>
      </c>
      <c r="AO370" s="84" t="s">
        <v>1764</v>
      </c>
      <c r="AP370" s="84" t="b">
        <v>0</v>
      </c>
      <c r="AQ370" s="92" t="s">
        <v>1705</v>
      </c>
      <c r="AR370" s="84" t="s">
        <v>179</v>
      </c>
      <c r="AS370" s="84">
        <v>0</v>
      </c>
      <c r="AT370" s="84">
        <v>0</v>
      </c>
      <c r="AU370" s="84"/>
      <c r="AV370" s="84"/>
      <c r="AW370" s="84"/>
      <c r="AX370" s="84"/>
      <c r="AY370" s="84"/>
      <c r="AZ370" s="84"/>
      <c r="BA370" s="84"/>
      <c r="BB370" s="84"/>
    </row>
    <row r="371" spans="1:54" x14ac:dyDescent="0.2">
      <c r="A371" s="69" t="s">
        <v>408</v>
      </c>
      <c r="B371" s="69" t="s">
        <v>408</v>
      </c>
      <c r="C371" s="70"/>
      <c r="D371" s="71"/>
      <c r="E371" s="72"/>
      <c r="F371" s="73"/>
      <c r="G371" s="70"/>
      <c r="H371" s="74"/>
      <c r="I371" s="75"/>
      <c r="J371" s="75"/>
      <c r="K371" s="36"/>
      <c r="L371" s="82"/>
      <c r="M371" s="82"/>
      <c r="N371" s="77"/>
      <c r="O371" s="84" t="s">
        <v>179</v>
      </c>
      <c r="P371" s="86">
        <v>44019.447222222225</v>
      </c>
      <c r="Q371" s="84" t="s">
        <v>696</v>
      </c>
      <c r="R371" s="84"/>
      <c r="S371" s="84"/>
      <c r="T371" s="84" t="s">
        <v>781</v>
      </c>
      <c r="U371" s="87" t="str">
        <f>HYPERLINK("https://pbs.twimg.com/media/EcUUwmEUMAENDvz.jpg")</f>
        <v>https://pbs.twimg.com/media/EcUUwmEUMAENDvz.jpg</v>
      </c>
      <c r="V371" s="87" t="str">
        <f>HYPERLINK("https://pbs.twimg.com/media/EcUUwmEUMAENDvz.jpg")</f>
        <v>https://pbs.twimg.com/media/EcUUwmEUMAENDvz.jpg</v>
      </c>
      <c r="W371" s="86">
        <v>44019.447222222225</v>
      </c>
      <c r="X371" s="90">
        <v>44019</v>
      </c>
      <c r="Y371" s="92" t="s">
        <v>1153</v>
      </c>
      <c r="Z371" s="87" t="str">
        <f>HYPERLINK("https://twitter.com/hirocos2/status/1280452502438031360")</f>
        <v>https://twitter.com/hirocos2/status/1280452502438031360</v>
      </c>
      <c r="AA371" s="84"/>
      <c r="AB371" s="84"/>
      <c r="AC371" s="92" t="s">
        <v>1574</v>
      </c>
      <c r="AD371" s="84"/>
      <c r="AE371" s="84" t="b">
        <v>0</v>
      </c>
      <c r="AF371" s="84">
        <v>24</v>
      </c>
      <c r="AG371" s="92" t="s">
        <v>1724</v>
      </c>
      <c r="AH371" s="84" t="b">
        <v>0</v>
      </c>
      <c r="AI371" s="84" t="s">
        <v>1750</v>
      </c>
      <c r="AJ371" s="84"/>
      <c r="AK371" s="92" t="s">
        <v>1724</v>
      </c>
      <c r="AL371" s="84" t="b">
        <v>0</v>
      </c>
      <c r="AM371" s="84">
        <v>0</v>
      </c>
      <c r="AN371" s="92" t="s">
        <v>1724</v>
      </c>
      <c r="AO371" s="84" t="s">
        <v>1763</v>
      </c>
      <c r="AP371" s="84" t="b">
        <v>0</v>
      </c>
      <c r="AQ371" s="92" t="s">
        <v>1574</v>
      </c>
      <c r="AR371" s="84" t="s">
        <v>179</v>
      </c>
      <c r="AS371" s="84">
        <v>0</v>
      </c>
      <c r="AT371" s="84">
        <v>0</v>
      </c>
      <c r="AU371" s="84"/>
      <c r="AV371" s="84"/>
      <c r="AW371" s="84"/>
      <c r="AX371" s="84"/>
      <c r="AY371" s="84"/>
      <c r="AZ371" s="84"/>
      <c r="BA371" s="84"/>
      <c r="BB371" s="84"/>
    </row>
    <row r="372" spans="1:54" x14ac:dyDescent="0.2">
      <c r="A372" s="69" t="s">
        <v>260</v>
      </c>
      <c r="B372" s="69" t="s">
        <v>260</v>
      </c>
      <c r="C372" s="70"/>
      <c r="D372" s="71"/>
      <c r="E372" s="72"/>
      <c r="F372" s="73"/>
      <c r="G372" s="70"/>
      <c r="H372" s="74"/>
      <c r="I372" s="75"/>
      <c r="J372" s="75"/>
      <c r="K372" s="36"/>
      <c r="L372" s="82"/>
      <c r="M372" s="82"/>
      <c r="N372" s="77"/>
      <c r="O372" s="84" t="s">
        <v>179</v>
      </c>
      <c r="P372" s="86">
        <v>44019.39576388889</v>
      </c>
      <c r="Q372" s="84" t="s">
        <v>549</v>
      </c>
      <c r="R372" s="84"/>
      <c r="S372" s="84"/>
      <c r="T372" s="84" t="s">
        <v>800</v>
      </c>
      <c r="U372" s="87" t="str">
        <f>HYPERLINK("https://pbs.twimg.com/media/EcUDyWHUMAEaV1P.jpg")</f>
        <v>https://pbs.twimg.com/media/EcUDyWHUMAEaV1P.jpg</v>
      </c>
      <c r="V372" s="87" t="str">
        <f>HYPERLINK("https://pbs.twimg.com/media/EcUDyWHUMAEaV1P.jpg")</f>
        <v>https://pbs.twimg.com/media/EcUDyWHUMAEaV1P.jpg</v>
      </c>
      <c r="W372" s="86">
        <v>44019.39576388889</v>
      </c>
      <c r="X372" s="90">
        <v>44019</v>
      </c>
      <c r="Y372" s="92" t="s">
        <v>917</v>
      </c>
      <c r="Z372" s="87" t="str">
        <f>HYPERLINK("https://twitter.com/o0e_k0o/status/1280433853002219520")</f>
        <v>https://twitter.com/o0e_k0o/status/1280433853002219520</v>
      </c>
      <c r="AA372" s="84"/>
      <c r="AB372" s="84"/>
      <c r="AC372" s="92" t="s">
        <v>1336</v>
      </c>
      <c r="AD372" s="84"/>
      <c r="AE372" s="84" t="b">
        <v>0</v>
      </c>
      <c r="AF372" s="84">
        <v>3</v>
      </c>
      <c r="AG372" s="92" t="s">
        <v>1724</v>
      </c>
      <c r="AH372" s="84" t="b">
        <v>0</v>
      </c>
      <c r="AI372" s="84" t="s">
        <v>1750</v>
      </c>
      <c r="AJ372" s="84"/>
      <c r="AK372" s="92" t="s">
        <v>1724</v>
      </c>
      <c r="AL372" s="84" t="b">
        <v>0</v>
      </c>
      <c r="AM372" s="84">
        <v>0</v>
      </c>
      <c r="AN372" s="92" t="s">
        <v>1724</v>
      </c>
      <c r="AO372" s="84" t="s">
        <v>1764</v>
      </c>
      <c r="AP372" s="84" t="b">
        <v>0</v>
      </c>
      <c r="AQ372" s="92" t="s">
        <v>1336</v>
      </c>
      <c r="AR372" s="84" t="s">
        <v>179</v>
      </c>
      <c r="AS372" s="84">
        <v>0</v>
      </c>
      <c r="AT372" s="84">
        <v>0</v>
      </c>
      <c r="AU372" s="84"/>
      <c r="AV372" s="84"/>
      <c r="AW372" s="84"/>
      <c r="AX372" s="84"/>
      <c r="AY372" s="84"/>
      <c r="AZ372" s="84"/>
      <c r="BA372" s="84"/>
      <c r="BB372" s="84"/>
    </row>
    <row r="373" spans="1:54" x14ac:dyDescent="0.2">
      <c r="A373" s="69" t="s">
        <v>316</v>
      </c>
      <c r="B373" s="69" t="s">
        <v>316</v>
      </c>
      <c r="C373" s="70"/>
      <c r="D373" s="71"/>
      <c r="E373" s="72"/>
      <c r="F373" s="73"/>
      <c r="G373" s="70"/>
      <c r="H373" s="74"/>
      <c r="I373" s="75"/>
      <c r="J373" s="75"/>
      <c r="K373" s="36"/>
      <c r="L373" s="82"/>
      <c r="M373" s="82"/>
      <c r="N373" s="77"/>
      <c r="O373" s="84" t="s">
        <v>179</v>
      </c>
      <c r="P373" s="86">
        <v>44019.371944444443</v>
      </c>
      <c r="Q373" s="84" t="s">
        <v>612</v>
      </c>
      <c r="R373" s="87" t="str">
        <f>HYPERLINK("https://www.ebay.com/itm/Ray-Ban-Denim-Wayfarer-Sunglasses-RB2140-Blue-/174246174362")</f>
        <v>https://www.ebay.com/itm/Ray-Ban-Denim-Wayfarer-Sunglasses-RB2140-Blue-/174246174362</v>
      </c>
      <c r="S373" s="84" t="s">
        <v>773</v>
      </c>
      <c r="T373" s="84" t="s">
        <v>823</v>
      </c>
      <c r="U373" s="87" t="str">
        <f>HYPERLINK("https://pbs.twimg.com/media/EcT79CgXYAI1wSJ.jpg")</f>
        <v>https://pbs.twimg.com/media/EcT79CgXYAI1wSJ.jpg</v>
      </c>
      <c r="V373" s="87" t="str">
        <f>HYPERLINK("https://pbs.twimg.com/media/EcT79CgXYAI1wSJ.jpg")</f>
        <v>https://pbs.twimg.com/media/EcT79CgXYAI1wSJ.jpg</v>
      </c>
      <c r="W373" s="86">
        <v>44019.371944444443</v>
      </c>
      <c r="X373" s="90">
        <v>44019</v>
      </c>
      <c r="Y373" s="92" t="s">
        <v>999</v>
      </c>
      <c r="Z373" s="87" t="str">
        <f>HYPERLINK("https://twitter.com/esquireattire/status/1280425221514842112")</f>
        <v>https://twitter.com/esquireattire/status/1280425221514842112</v>
      </c>
      <c r="AA373" s="84"/>
      <c r="AB373" s="84"/>
      <c r="AC373" s="92" t="s">
        <v>1418</v>
      </c>
      <c r="AD373" s="84"/>
      <c r="AE373" s="84" t="b">
        <v>0</v>
      </c>
      <c r="AF373" s="84">
        <v>0</v>
      </c>
      <c r="AG373" s="92" t="s">
        <v>1724</v>
      </c>
      <c r="AH373" s="84" t="b">
        <v>0</v>
      </c>
      <c r="AI373" s="84" t="s">
        <v>1751</v>
      </c>
      <c r="AJ373" s="84"/>
      <c r="AK373" s="92" t="s">
        <v>1724</v>
      </c>
      <c r="AL373" s="84" t="b">
        <v>0</v>
      </c>
      <c r="AM373" s="84">
        <v>0</v>
      </c>
      <c r="AN373" s="92" t="s">
        <v>1724</v>
      </c>
      <c r="AO373" s="84" t="s">
        <v>1780</v>
      </c>
      <c r="AP373" s="84" t="b">
        <v>0</v>
      </c>
      <c r="AQ373" s="92" t="s">
        <v>1418</v>
      </c>
      <c r="AR373" s="84" t="s">
        <v>179</v>
      </c>
      <c r="AS373" s="84">
        <v>0</v>
      </c>
      <c r="AT373" s="84">
        <v>0</v>
      </c>
      <c r="AU373" s="84"/>
      <c r="AV373" s="84"/>
      <c r="AW373" s="84"/>
      <c r="AX373" s="84"/>
      <c r="AY373" s="84"/>
      <c r="AZ373" s="84"/>
      <c r="BA373" s="84"/>
      <c r="BB373" s="84"/>
    </row>
    <row r="374" spans="1:54" x14ac:dyDescent="0.2">
      <c r="A374" s="69" t="s">
        <v>259</v>
      </c>
      <c r="B374" s="69" t="s">
        <v>259</v>
      </c>
      <c r="C374" s="70"/>
      <c r="D374" s="71"/>
      <c r="E374" s="72"/>
      <c r="F374" s="73"/>
      <c r="G374" s="70"/>
      <c r="H374" s="74"/>
      <c r="I374" s="75"/>
      <c r="J374" s="75"/>
      <c r="K374" s="36"/>
      <c r="L374" s="82"/>
      <c r="M374" s="82"/>
      <c r="N374" s="77"/>
      <c r="O374" s="84" t="s">
        <v>179</v>
      </c>
      <c r="P374" s="86">
        <v>44019.37</v>
      </c>
      <c r="Q374" s="84" t="s">
        <v>547</v>
      </c>
      <c r="R374" s="84"/>
      <c r="S374" s="84"/>
      <c r="T374" s="84" t="s">
        <v>799</v>
      </c>
      <c r="U374" s="84"/>
      <c r="V374" s="87" t="str">
        <f>HYPERLINK("http://pbs.twimg.com/profile_images/1271391800675241987/gDNo8MvZ_normal.jpg")</f>
        <v>http://pbs.twimg.com/profile_images/1271391800675241987/gDNo8MvZ_normal.jpg</v>
      </c>
      <c r="W374" s="86">
        <v>44019.37</v>
      </c>
      <c r="X374" s="90">
        <v>44019</v>
      </c>
      <c r="Y374" s="92" t="s">
        <v>915</v>
      </c>
      <c r="Z374" s="87" t="str">
        <f>HYPERLINK("https://twitter.com/elgranuja84/status/1280424514778796032")</f>
        <v>https://twitter.com/elgranuja84/status/1280424514778796032</v>
      </c>
      <c r="AA374" s="84"/>
      <c r="AB374" s="84"/>
      <c r="AC374" s="92" t="s">
        <v>1334</v>
      </c>
      <c r="AD374" s="84"/>
      <c r="AE374" s="84" t="b">
        <v>0</v>
      </c>
      <c r="AF374" s="84">
        <v>0</v>
      </c>
      <c r="AG374" s="92" t="s">
        <v>1724</v>
      </c>
      <c r="AH374" s="84" t="b">
        <v>0</v>
      </c>
      <c r="AI374" s="84" t="s">
        <v>1754</v>
      </c>
      <c r="AJ374" s="84"/>
      <c r="AK374" s="92" t="s">
        <v>1724</v>
      </c>
      <c r="AL374" s="84" t="b">
        <v>0</v>
      </c>
      <c r="AM374" s="84">
        <v>0</v>
      </c>
      <c r="AN374" s="92" t="s">
        <v>1724</v>
      </c>
      <c r="AO374" s="84" t="s">
        <v>1764</v>
      </c>
      <c r="AP374" s="84" t="b">
        <v>0</v>
      </c>
      <c r="AQ374" s="92" t="s">
        <v>1334</v>
      </c>
      <c r="AR374" s="84" t="s">
        <v>179</v>
      </c>
      <c r="AS374" s="84">
        <v>0</v>
      </c>
      <c r="AT374" s="84">
        <v>0</v>
      </c>
      <c r="AU374" s="84"/>
      <c r="AV374" s="84"/>
      <c r="AW374" s="84"/>
      <c r="AX374" s="84"/>
      <c r="AY374" s="84"/>
      <c r="AZ374" s="84"/>
      <c r="BA374" s="84"/>
      <c r="BB374" s="84"/>
    </row>
    <row r="375" spans="1:54" x14ac:dyDescent="0.2">
      <c r="A375" s="69" t="s">
        <v>400</v>
      </c>
      <c r="B375" s="69" t="s">
        <v>400</v>
      </c>
      <c r="C375" s="70"/>
      <c r="D375" s="71"/>
      <c r="E375" s="72"/>
      <c r="F375" s="73"/>
      <c r="G375" s="70"/>
      <c r="H375" s="74"/>
      <c r="I375" s="75"/>
      <c r="J375" s="75"/>
      <c r="K375" s="36"/>
      <c r="L375" s="82"/>
      <c r="M375" s="82"/>
      <c r="N375" s="77"/>
      <c r="O375" s="84" t="s">
        <v>179</v>
      </c>
      <c r="P375" s="86">
        <v>44019.312743055554</v>
      </c>
      <c r="Q375" s="84" t="s">
        <v>586</v>
      </c>
      <c r="R375" s="87" t="str">
        <f>HYPERLINK("https://m.facebook.com/anunknownkraftsman")</f>
        <v>https://m.facebook.com/anunknownkraftsman</v>
      </c>
      <c r="S375" s="84" t="s">
        <v>772</v>
      </c>
      <c r="T375" s="84" t="s">
        <v>842</v>
      </c>
      <c r="U375" s="84"/>
      <c r="V375" s="87" t="str">
        <f>HYPERLINK("http://pbs.twimg.com/profile_images/1142556013167632391/vMubfzN-_normal.jpg")</f>
        <v>http://pbs.twimg.com/profile_images/1142556013167632391/vMubfzN-_normal.jpg</v>
      </c>
      <c r="W375" s="86">
        <v>44019.312743055554</v>
      </c>
      <c r="X375" s="90">
        <v>44019</v>
      </c>
      <c r="Y375" s="92" t="s">
        <v>1132</v>
      </c>
      <c r="Z375" s="87" t="str">
        <f>HYPERLINK("https://twitter.com/hc_mmoor1868/status/1280403769201700865")</f>
        <v>https://twitter.com/hc_mmoor1868/status/1280403769201700865</v>
      </c>
      <c r="AA375" s="84"/>
      <c r="AB375" s="84"/>
      <c r="AC375" s="92" t="s">
        <v>1551</v>
      </c>
      <c r="AD375" s="84"/>
      <c r="AE375" s="84" t="b">
        <v>0</v>
      </c>
      <c r="AF375" s="84">
        <v>0</v>
      </c>
      <c r="AG375" s="92" t="s">
        <v>1724</v>
      </c>
      <c r="AH375" s="84" t="b">
        <v>0</v>
      </c>
      <c r="AI375" s="84" t="s">
        <v>1751</v>
      </c>
      <c r="AJ375" s="84"/>
      <c r="AK375" s="92" t="s">
        <v>1724</v>
      </c>
      <c r="AL375" s="84" t="b">
        <v>0</v>
      </c>
      <c r="AM375" s="84">
        <v>0</v>
      </c>
      <c r="AN375" s="92" t="s">
        <v>1724</v>
      </c>
      <c r="AO375" s="84" t="s">
        <v>1783</v>
      </c>
      <c r="AP375" s="84" t="b">
        <v>0</v>
      </c>
      <c r="AQ375" s="92" t="s">
        <v>1551</v>
      </c>
      <c r="AR375" s="84" t="s">
        <v>179</v>
      </c>
      <c r="AS375" s="84">
        <v>0</v>
      </c>
      <c r="AT375" s="84">
        <v>0</v>
      </c>
      <c r="AU375" s="84"/>
      <c r="AV375" s="84"/>
      <c r="AW375" s="84"/>
      <c r="AX375" s="84"/>
      <c r="AY375" s="84"/>
      <c r="AZ375" s="84"/>
      <c r="BA375" s="84"/>
      <c r="BB375" s="84"/>
    </row>
    <row r="376" spans="1:54" x14ac:dyDescent="0.2">
      <c r="A376" s="69" t="s">
        <v>263</v>
      </c>
      <c r="B376" s="69" t="s">
        <v>468</v>
      </c>
      <c r="C376" s="70"/>
      <c r="D376" s="71"/>
      <c r="E376" s="72"/>
      <c r="F376" s="73"/>
      <c r="G376" s="70"/>
      <c r="H376" s="74"/>
      <c r="I376" s="75"/>
      <c r="J376" s="75"/>
      <c r="K376" s="36"/>
      <c r="L376" s="82"/>
      <c r="M376" s="82"/>
      <c r="N376" s="77"/>
      <c r="O376" s="84" t="s">
        <v>502</v>
      </c>
      <c r="P376" s="86">
        <v>44019.291527777779</v>
      </c>
      <c r="Q376" s="84" t="s">
        <v>553</v>
      </c>
      <c r="R376" s="84"/>
      <c r="S376" s="84"/>
      <c r="T376" s="84" t="s">
        <v>781</v>
      </c>
      <c r="U376" s="84"/>
      <c r="V376" s="87" t="str">
        <f>HYPERLINK("http://pbs.twimg.com/profile_images/1199803419764154370/qY26rYGV_normal.jpg")</f>
        <v>http://pbs.twimg.com/profile_images/1199803419764154370/qY26rYGV_normal.jpg</v>
      </c>
      <c r="W376" s="86">
        <v>44019.291527777779</v>
      </c>
      <c r="X376" s="90">
        <v>44019</v>
      </c>
      <c r="Y376" s="92" t="s">
        <v>921</v>
      </c>
      <c r="Z376" s="87" t="str">
        <f>HYPERLINK("https://twitter.com/northroadcycles/status/1280396078446247937")</f>
        <v>https://twitter.com/northroadcycles/status/1280396078446247937</v>
      </c>
      <c r="AA376" s="84"/>
      <c r="AB376" s="84"/>
      <c r="AC376" s="92" t="s">
        <v>1340</v>
      </c>
      <c r="AD376" s="84"/>
      <c r="AE376" s="84" t="b">
        <v>0</v>
      </c>
      <c r="AF376" s="84">
        <v>0</v>
      </c>
      <c r="AG376" s="92" t="s">
        <v>1724</v>
      </c>
      <c r="AH376" s="84" t="b">
        <v>0</v>
      </c>
      <c r="AI376" s="84" t="s">
        <v>1751</v>
      </c>
      <c r="AJ376" s="84"/>
      <c r="AK376" s="92" t="s">
        <v>1724</v>
      </c>
      <c r="AL376" s="84" t="b">
        <v>0</v>
      </c>
      <c r="AM376" s="84">
        <v>1</v>
      </c>
      <c r="AN376" s="92" t="s">
        <v>1341</v>
      </c>
      <c r="AO376" s="84" t="s">
        <v>1764</v>
      </c>
      <c r="AP376" s="84" t="b">
        <v>0</v>
      </c>
      <c r="AQ376" s="92" t="s">
        <v>1341</v>
      </c>
      <c r="AR376" s="84" t="s">
        <v>179</v>
      </c>
      <c r="AS376" s="84">
        <v>0</v>
      </c>
      <c r="AT376" s="84">
        <v>0</v>
      </c>
      <c r="AU376" s="84"/>
      <c r="AV376" s="84"/>
      <c r="AW376" s="84"/>
      <c r="AX376" s="84"/>
      <c r="AY376" s="84"/>
      <c r="AZ376" s="84"/>
      <c r="BA376" s="84"/>
      <c r="BB376" s="84"/>
    </row>
    <row r="377" spans="1:54" x14ac:dyDescent="0.2">
      <c r="A377" s="69" t="s">
        <v>263</v>
      </c>
      <c r="B377" s="69" t="s">
        <v>469</v>
      </c>
      <c r="C377" s="70"/>
      <c r="D377" s="71"/>
      <c r="E377" s="72"/>
      <c r="F377" s="73"/>
      <c r="G377" s="70"/>
      <c r="H377" s="74"/>
      <c r="I377" s="75"/>
      <c r="J377" s="75"/>
      <c r="K377" s="36"/>
      <c r="L377" s="82"/>
      <c r="M377" s="82"/>
      <c r="N377" s="77"/>
      <c r="O377" s="84" t="s">
        <v>502</v>
      </c>
      <c r="P377" s="86">
        <v>44019.291527777779</v>
      </c>
      <c r="Q377" s="84" t="s">
        <v>553</v>
      </c>
      <c r="R377" s="84"/>
      <c r="S377" s="84"/>
      <c r="T377" s="84" t="s">
        <v>781</v>
      </c>
      <c r="U377" s="84"/>
      <c r="V377" s="87" t="str">
        <f>HYPERLINK("http://pbs.twimg.com/profile_images/1199803419764154370/qY26rYGV_normal.jpg")</f>
        <v>http://pbs.twimg.com/profile_images/1199803419764154370/qY26rYGV_normal.jpg</v>
      </c>
      <c r="W377" s="86">
        <v>44019.291527777779</v>
      </c>
      <c r="X377" s="90">
        <v>44019</v>
      </c>
      <c r="Y377" s="92" t="s">
        <v>921</v>
      </c>
      <c r="Z377" s="87" t="str">
        <f>HYPERLINK("https://twitter.com/northroadcycles/status/1280396078446247937")</f>
        <v>https://twitter.com/northroadcycles/status/1280396078446247937</v>
      </c>
      <c r="AA377" s="84"/>
      <c r="AB377" s="84"/>
      <c r="AC377" s="92" t="s">
        <v>1340</v>
      </c>
      <c r="AD377" s="84"/>
      <c r="AE377" s="84" t="b">
        <v>0</v>
      </c>
      <c r="AF377" s="84">
        <v>0</v>
      </c>
      <c r="AG377" s="92" t="s">
        <v>1724</v>
      </c>
      <c r="AH377" s="84" t="b">
        <v>0</v>
      </c>
      <c r="AI377" s="84" t="s">
        <v>1751</v>
      </c>
      <c r="AJ377" s="84"/>
      <c r="AK377" s="92" t="s">
        <v>1724</v>
      </c>
      <c r="AL377" s="84" t="b">
        <v>0</v>
      </c>
      <c r="AM377" s="84">
        <v>1</v>
      </c>
      <c r="AN377" s="92" t="s">
        <v>1341</v>
      </c>
      <c r="AO377" s="84" t="s">
        <v>1764</v>
      </c>
      <c r="AP377" s="84" t="b">
        <v>0</v>
      </c>
      <c r="AQ377" s="92" t="s">
        <v>1341</v>
      </c>
      <c r="AR377" s="84" t="s">
        <v>179</v>
      </c>
      <c r="AS377" s="84">
        <v>0</v>
      </c>
      <c r="AT377" s="84">
        <v>0</v>
      </c>
      <c r="AU377" s="84"/>
      <c r="AV377" s="84"/>
      <c r="AW377" s="84"/>
      <c r="AX377" s="84"/>
      <c r="AY377" s="84"/>
      <c r="AZ377" s="84"/>
      <c r="BA377" s="84"/>
      <c r="BB377" s="84"/>
    </row>
    <row r="378" spans="1:54" x14ac:dyDescent="0.2">
      <c r="A378" s="69" t="s">
        <v>263</v>
      </c>
      <c r="B378" s="69" t="s">
        <v>264</v>
      </c>
      <c r="C378" s="70"/>
      <c r="D378" s="71"/>
      <c r="E378" s="72"/>
      <c r="F378" s="73"/>
      <c r="G378" s="70"/>
      <c r="H378" s="74"/>
      <c r="I378" s="75"/>
      <c r="J378" s="75"/>
      <c r="K378" s="36"/>
      <c r="L378" s="82"/>
      <c r="M378" s="82"/>
      <c r="N378" s="77"/>
      <c r="O378" s="84" t="s">
        <v>500</v>
      </c>
      <c r="P378" s="86">
        <v>44019.291527777779</v>
      </c>
      <c r="Q378" s="84" t="s">
        <v>553</v>
      </c>
      <c r="R378" s="84"/>
      <c r="S378" s="84"/>
      <c r="T378" s="84" t="s">
        <v>781</v>
      </c>
      <c r="U378" s="84"/>
      <c r="V378" s="87" t="str">
        <f>HYPERLINK("http://pbs.twimg.com/profile_images/1199803419764154370/qY26rYGV_normal.jpg")</f>
        <v>http://pbs.twimg.com/profile_images/1199803419764154370/qY26rYGV_normal.jpg</v>
      </c>
      <c r="W378" s="86">
        <v>44019.291527777779</v>
      </c>
      <c r="X378" s="90">
        <v>44019</v>
      </c>
      <c r="Y378" s="92" t="s">
        <v>921</v>
      </c>
      <c r="Z378" s="87" t="str">
        <f>HYPERLINK("https://twitter.com/northroadcycles/status/1280396078446247937")</f>
        <v>https://twitter.com/northroadcycles/status/1280396078446247937</v>
      </c>
      <c r="AA378" s="84"/>
      <c r="AB378" s="84"/>
      <c r="AC378" s="92" t="s">
        <v>1340</v>
      </c>
      <c r="AD378" s="84"/>
      <c r="AE378" s="84" t="b">
        <v>0</v>
      </c>
      <c r="AF378" s="84">
        <v>0</v>
      </c>
      <c r="AG378" s="92" t="s">
        <v>1724</v>
      </c>
      <c r="AH378" s="84" t="b">
        <v>0</v>
      </c>
      <c r="AI378" s="84" t="s">
        <v>1751</v>
      </c>
      <c r="AJ378" s="84"/>
      <c r="AK378" s="92" t="s">
        <v>1724</v>
      </c>
      <c r="AL378" s="84" t="b">
        <v>0</v>
      </c>
      <c r="AM378" s="84">
        <v>1</v>
      </c>
      <c r="AN378" s="92" t="s">
        <v>1341</v>
      </c>
      <c r="AO378" s="84" t="s">
        <v>1764</v>
      </c>
      <c r="AP378" s="84" t="b">
        <v>0</v>
      </c>
      <c r="AQ378" s="92" t="s">
        <v>1341</v>
      </c>
      <c r="AR378" s="84" t="s">
        <v>179</v>
      </c>
      <c r="AS378" s="84">
        <v>0</v>
      </c>
      <c r="AT378" s="84">
        <v>0</v>
      </c>
      <c r="AU378" s="84"/>
      <c r="AV378" s="84"/>
      <c r="AW378" s="84"/>
      <c r="AX378" s="84"/>
      <c r="AY378" s="84"/>
      <c r="AZ378" s="84"/>
      <c r="BA378" s="84"/>
      <c r="BB378" s="84"/>
    </row>
    <row r="379" spans="1:54" x14ac:dyDescent="0.2">
      <c r="A379" s="69" t="s">
        <v>264</v>
      </c>
      <c r="B379" s="69" t="s">
        <v>468</v>
      </c>
      <c r="C379" s="70"/>
      <c r="D379" s="71"/>
      <c r="E379" s="72"/>
      <c r="F379" s="73"/>
      <c r="G379" s="70"/>
      <c r="H379" s="74"/>
      <c r="I379" s="75"/>
      <c r="J379" s="75"/>
      <c r="K379" s="36"/>
      <c r="L379" s="82"/>
      <c r="M379" s="82"/>
      <c r="N379" s="77"/>
      <c r="O379" s="84" t="s">
        <v>501</v>
      </c>
      <c r="P379" s="86">
        <v>44019.291354166664</v>
      </c>
      <c r="Q379" s="84" t="s">
        <v>553</v>
      </c>
      <c r="R379" s="87" t="str">
        <f>HYPERLINK("https://www.rsf.org.uk/about-us/history-and-beginnings.html")</f>
        <v>https://www.rsf.org.uk/about-us/history-and-beginnings.html</v>
      </c>
      <c r="S379" s="84" t="s">
        <v>765</v>
      </c>
      <c r="T379" s="84" t="s">
        <v>781</v>
      </c>
      <c r="U379" s="84"/>
      <c r="V379" s="87" t="str">
        <f>HYPERLINK("http://pbs.twimg.com/profile_images/1157661391358181383/X2XPoNLW_normal.jpg")</f>
        <v>http://pbs.twimg.com/profile_images/1157661391358181383/X2XPoNLW_normal.jpg</v>
      </c>
      <c r="W379" s="86">
        <v>44019.291354166664</v>
      </c>
      <c r="X379" s="90">
        <v>44019</v>
      </c>
      <c r="Y379" s="92" t="s">
        <v>922</v>
      </c>
      <c r="Z379" s="87" t="str">
        <f>HYPERLINK("https://twitter.com/peteswiftysan/status/1280396017070989315")</f>
        <v>https://twitter.com/peteswiftysan/status/1280396017070989315</v>
      </c>
      <c r="AA379" s="84"/>
      <c r="AB379" s="84"/>
      <c r="AC379" s="92" t="s">
        <v>1341</v>
      </c>
      <c r="AD379" s="92" t="s">
        <v>1706</v>
      </c>
      <c r="AE379" s="84" t="b">
        <v>0</v>
      </c>
      <c r="AF379" s="84">
        <v>2</v>
      </c>
      <c r="AG379" s="92" t="s">
        <v>1729</v>
      </c>
      <c r="AH379" s="84" t="b">
        <v>0</v>
      </c>
      <c r="AI379" s="84" t="s">
        <v>1751</v>
      </c>
      <c r="AJ379" s="84"/>
      <c r="AK379" s="92" t="s">
        <v>1724</v>
      </c>
      <c r="AL379" s="84" t="b">
        <v>0</v>
      </c>
      <c r="AM379" s="84">
        <v>1</v>
      </c>
      <c r="AN379" s="92" t="s">
        <v>1724</v>
      </c>
      <c r="AO379" s="84" t="s">
        <v>1763</v>
      </c>
      <c r="AP379" s="84" t="b">
        <v>0</v>
      </c>
      <c r="AQ379" s="92" t="s">
        <v>1706</v>
      </c>
      <c r="AR379" s="84" t="s">
        <v>179</v>
      </c>
      <c r="AS379" s="84">
        <v>0</v>
      </c>
      <c r="AT379" s="84">
        <v>0</v>
      </c>
      <c r="AU379" s="84"/>
      <c r="AV379" s="84"/>
      <c r="AW379" s="84"/>
      <c r="AX379" s="84"/>
      <c r="AY379" s="84"/>
      <c r="AZ379" s="84"/>
      <c r="BA379" s="84"/>
      <c r="BB379" s="84"/>
    </row>
    <row r="380" spans="1:54" x14ac:dyDescent="0.2">
      <c r="A380" s="69" t="s">
        <v>264</v>
      </c>
      <c r="B380" s="69" t="s">
        <v>469</v>
      </c>
      <c r="C380" s="70"/>
      <c r="D380" s="71"/>
      <c r="E380" s="72"/>
      <c r="F380" s="73"/>
      <c r="G380" s="70"/>
      <c r="H380" s="74"/>
      <c r="I380" s="75"/>
      <c r="J380" s="75"/>
      <c r="K380" s="36"/>
      <c r="L380" s="82"/>
      <c r="M380" s="82"/>
      <c r="N380" s="77"/>
      <c r="O380" s="84" t="s">
        <v>501</v>
      </c>
      <c r="P380" s="86">
        <v>44019.291354166664</v>
      </c>
      <c r="Q380" s="84" t="s">
        <v>553</v>
      </c>
      <c r="R380" s="87" t="str">
        <f>HYPERLINK("https://www.rsf.org.uk/about-us/history-and-beginnings.html")</f>
        <v>https://www.rsf.org.uk/about-us/history-and-beginnings.html</v>
      </c>
      <c r="S380" s="84" t="s">
        <v>765</v>
      </c>
      <c r="T380" s="84" t="s">
        <v>781</v>
      </c>
      <c r="U380" s="84"/>
      <c r="V380" s="87" t="str">
        <f>HYPERLINK("http://pbs.twimg.com/profile_images/1157661391358181383/X2XPoNLW_normal.jpg")</f>
        <v>http://pbs.twimg.com/profile_images/1157661391358181383/X2XPoNLW_normal.jpg</v>
      </c>
      <c r="W380" s="86">
        <v>44019.291354166664</v>
      </c>
      <c r="X380" s="90">
        <v>44019</v>
      </c>
      <c r="Y380" s="92" t="s">
        <v>922</v>
      </c>
      <c r="Z380" s="87" t="str">
        <f>HYPERLINK("https://twitter.com/peteswiftysan/status/1280396017070989315")</f>
        <v>https://twitter.com/peteswiftysan/status/1280396017070989315</v>
      </c>
      <c r="AA380" s="84"/>
      <c r="AB380" s="84"/>
      <c r="AC380" s="92" t="s">
        <v>1341</v>
      </c>
      <c r="AD380" s="92" t="s">
        <v>1706</v>
      </c>
      <c r="AE380" s="84" t="b">
        <v>0</v>
      </c>
      <c r="AF380" s="84">
        <v>2</v>
      </c>
      <c r="AG380" s="92" t="s">
        <v>1729</v>
      </c>
      <c r="AH380" s="84" t="b">
        <v>0</v>
      </c>
      <c r="AI380" s="84" t="s">
        <v>1751</v>
      </c>
      <c r="AJ380" s="84"/>
      <c r="AK380" s="92" t="s">
        <v>1724</v>
      </c>
      <c r="AL380" s="84" t="b">
        <v>0</v>
      </c>
      <c r="AM380" s="84">
        <v>1</v>
      </c>
      <c r="AN380" s="92" t="s">
        <v>1724</v>
      </c>
      <c r="AO380" s="84" t="s">
        <v>1763</v>
      </c>
      <c r="AP380" s="84" t="b">
        <v>0</v>
      </c>
      <c r="AQ380" s="92" t="s">
        <v>1706</v>
      </c>
      <c r="AR380" s="84" t="s">
        <v>179</v>
      </c>
      <c r="AS380" s="84">
        <v>0</v>
      </c>
      <c r="AT380" s="84">
        <v>0</v>
      </c>
      <c r="AU380" s="84"/>
      <c r="AV380" s="84"/>
      <c r="AW380" s="84"/>
      <c r="AX380" s="84"/>
      <c r="AY380" s="84"/>
      <c r="AZ380" s="84"/>
      <c r="BA380" s="84"/>
      <c r="BB380" s="84"/>
    </row>
    <row r="381" spans="1:54" x14ac:dyDescent="0.2">
      <c r="A381" s="69" t="s">
        <v>264</v>
      </c>
      <c r="B381" s="69" t="s">
        <v>263</v>
      </c>
      <c r="C381" s="70"/>
      <c r="D381" s="71"/>
      <c r="E381" s="72"/>
      <c r="F381" s="73"/>
      <c r="G381" s="70"/>
      <c r="H381" s="74"/>
      <c r="I381" s="75"/>
      <c r="J381" s="75"/>
      <c r="K381" s="36"/>
      <c r="L381" s="82"/>
      <c r="M381" s="82"/>
      <c r="N381" s="77"/>
      <c r="O381" s="84" t="s">
        <v>503</v>
      </c>
      <c r="P381" s="86">
        <v>44019.291354166664</v>
      </c>
      <c r="Q381" s="84" t="s">
        <v>553</v>
      </c>
      <c r="R381" s="87" t="str">
        <f>HYPERLINK("https://www.rsf.org.uk/about-us/history-and-beginnings.html")</f>
        <v>https://www.rsf.org.uk/about-us/history-and-beginnings.html</v>
      </c>
      <c r="S381" s="84" t="s">
        <v>765</v>
      </c>
      <c r="T381" s="84" t="s">
        <v>781</v>
      </c>
      <c r="U381" s="84"/>
      <c r="V381" s="87" t="str">
        <f>HYPERLINK("http://pbs.twimg.com/profile_images/1157661391358181383/X2XPoNLW_normal.jpg")</f>
        <v>http://pbs.twimg.com/profile_images/1157661391358181383/X2XPoNLW_normal.jpg</v>
      </c>
      <c r="W381" s="86">
        <v>44019.291354166664</v>
      </c>
      <c r="X381" s="90">
        <v>44019</v>
      </c>
      <c r="Y381" s="92" t="s">
        <v>922</v>
      </c>
      <c r="Z381" s="87" t="str">
        <f>HYPERLINK("https://twitter.com/peteswiftysan/status/1280396017070989315")</f>
        <v>https://twitter.com/peteswiftysan/status/1280396017070989315</v>
      </c>
      <c r="AA381" s="84"/>
      <c r="AB381" s="84"/>
      <c r="AC381" s="92" t="s">
        <v>1341</v>
      </c>
      <c r="AD381" s="92" t="s">
        <v>1706</v>
      </c>
      <c r="AE381" s="84" t="b">
        <v>0</v>
      </c>
      <c r="AF381" s="84">
        <v>2</v>
      </c>
      <c r="AG381" s="92" t="s">
        <v>1729</v>
      </c>
      <c r="AH381" s="84" t="b">
        <v>0</v>
      </c>
      <c r="AI381" s="84" t="s">
        <v>1751</v>
      </c>
      <c r="AJ381" s="84"/>
      <c r="AK381" s="92" t="s">
        <v>1724</v>
      </c>
      <c r="AL381" s="84" t="b">
        <v>0</v>
      </c>
      <c r="AM381" s="84">
        <v>1</v>
      </c>
      <c r="AN381" s="92" t="s">
        <v>1724</v>
      </c>
      <c r="AO381" s="84" t="s">
        <v>1763</v>
      </c>
      <c r="AP381" s="84" t="b">
        <v>0</v>
      </c>
      <c r="AQ381" s="92" t="s">
        <v>1706</v>
      </c>
      <c r="AR381" s="84" t="s">
        <v>179</v>
      </c>
      <c r="AS381" s="84">
        <v>0</v>
      </c>
      <c r="AT381" s="84">
        <v>0</v>
      </c>
      <c r="AU381" s="84"/>
      <c r="AV381" s="84"/>
      <c r="AW381" s="84"/>
      <c r="AX381" s="84"/>
      <c r="AY381" s="84"/>
      <c r="AZ381" s="84"/>
      <c r="BA381" s="84"/>
      <c r="BB381" s="84"/>
    </row>
    <row r="382" spans="1:54" x14ac:dyDescent="0.2">
      <c r="A382" s="69" t="s">
        <v>258</v>
      </c>
      <c r="B382" s="69" t="s">
        <v>258</v>
      </c>
      <c r="C382" s="70"/>
      <c r="D382" s="71"/>
      <c r="E382" s="72"/>
      <c r="F382" s="73"/>
      <c r="G382" s="70"/>
      <c r="H382" s="74"/>
      <c r="I382" s="75"/>
      <c r="J382" s="75"/>
      <c r="K382" s="36"/>
      <c r="L382" s="82"/>
      <c r="M382" s="82"/>
      <c r="N382" s="77"/>
      <c r="O382" s="84" t="s">
        <v>179</v>
      </c>
      <c r="P382" s="86">
        <v>44019.241527777776</v>
      </c>
      <c r="Q382" s="84" t="s">
        <v>546</v>
      </c>
      <c r="R382" s="84"/>
      <c r="S382" s="84"/>
      <c r="T382" s="84" t="s">
        <v>781</v>
      </c>
      <c r="U382" s="87" t="str">
        <f>HYPERLINK("https://pbs.twimg.com/media/EcTQ9axUEAAqIWn.jpg")</f>
        <v>https://pbs.twimg.com/media/EcTQ9axUEAAqIWn.jpg</v>
      </c>
      <c r="V382" s="87" t="str">
        <f>HYPERLINK("https://pbs.twimg.com/media/EcTQ9axUEAAqIWn.jpg")</f>
        <v>https://pbs.twimg.com/media/EcTQ9axUEAAqIWn.jpg</v>
      </c>
      <c r="W382" s="86">
        <v>44019.241527777776</v>
      </c>
      <c r="X382" s="90">
        <v>44019</v>
      </c>
      <c r="Y382" s="92" t="s">
        <v>914</v>
      </c>
      <c r="Z382" s="87" t="str">
        <f>HYPERLINK("https://twitter.com/raymarines/status/1280377958788509697")</f>
        <v>https://twitter.com/raymarines/status/1280377958788509697</v>
      </c>
      <c r="AA382" s="84"/>
      <c r="AB382" s="84"/>
      <c r="AC382" s="92" t="s">
        <v>1333</v>
      </c>
      <c r="AD382" s="84"/>
      <c r="AE382" s="84" t="b">
        <v>0</v>
      </c>
      <c r="AF382" s="84">
        <v>0</v>
      </c>
      <c r="AG382" s="92" t="s">
        <v>1727</v>
      </c>
      <c r="AH382" s="84" t="b">
        <v>0</v>
      </c>
      <c r="AI382" s="84" t="s">
        <v>1750</v>
      </c>
      <c r="AJ382" s="84"/>
      <c r="AK382" s="92" t="s">
        <v>1724</v>
      </c>
      <c r="AL382" s="84" t="b">
        <v>0</v>
      </c>
      <c r="AM382" s="84">
        <v>0</v>
      </c>
      <c r="AN382" s="92" t="s">
        <v>1724</v>
      </c>
      <c r="AO382" s="84" t="s">
        <v>1763</v>
      </c>
      <c r="AP382" s="84" t="b">
        <v>0</v>
      </c>
      <c r="AQ382" s="92" t="s">
        <v>1333</v>
      </c>
      <c r="AR382" s="84" t="s">
        <v>179</v>
      </c>
      <c r="AS382" s="84">
        <v>0</v>
      </c>
      <c r="AT382" s="84">
        <v>0</v>
      </c>
      <c r="AU382" s="84"/>
      <c r="AV382" s="84"/>
      <c r="AW382" s="84"/>
      <c r="AX382" s="84"/>
      <c r="AY382" s="84"/>
      <c r="AZ382" s="84"/>
      <c r="BA382" s="84"/>
      <c r="BB382" s="84"/>
    </row>
    <row r="383" spans="1:54" x14ac:dyDescent="0.2">
      <c r="A383" s="69" t="s">
        <v>257</v>
      </c>
      <c r="B383" s="69" t="s">
        <v>257</v>
      </c>
      <c r="C383" s="70"/>
      <c r="D383" s="71"/>
      <c r="E383" s="72"/>
      <c r="F383" s="73"/>
      <c r="G383" s="70"/>
      <c r="H383" s="74"/>
      <c r="I383" s="75"/>
      <c r="J383" s="75"/>
      <c r="K383" s="36"/>
      <c r="L383" s="82"/>
      <c r="M383" s="82"/>
      <c r="N383" s="77"/>
      <c r="O383" s="84" t="s">
        <v>179</v>
      </c>
      <c r="P383" s="86">
        <v>44019.227407407408</v>
      </c>
      <c r="Q383" s="84" t="s">
        <v>544</v>
      </c>
      <c r="R383" s="84"/>
      <c r="S383" s="84"/>
      <c r="T383" s="84" t="s">
        <v>798</v>
      </c>
      <c r="U383" s="87" t="str">
        <f>HYPERLINK("https://pbs.twimg.com/media/EcTMUCHU4AEjbNI.jpg")</f>
        <v>https://pbs.twimg.com/media/EcTMUCHU4AEjbNI.jpg</v>
      </c>
      <c r="V383" s="87" t="str">
        <f>HYPERLINK("https://pbs.twimg.com/media/EcTMUCHU4AEjbNI.jpg")</f>
        <v>https://pbs.twimg.com/media/EcTMUCHU4AEjbNI.jpg</v>
      </c>
      <c r="W383" s="86">
        <v>44019.227407407408</v>
      </c>
      <c r="X383" s="90">
        <v>44019</v>
      </c>
      <c r="Y383" s="92" t="s">
        <v>912</v>
      </c>
      <c r="Z383" s="87" t="str">
        <f>HYPERLINK("https://twitter.com/suzu373737/status/1280372844329791488")</f>
        <v>https://twitter.com/suzu373737/status/1280372844329791488</v>
      </c>
      <c r="AA383" s="84"/>
      <c r="AB383" s="84"/>
      <c r="AC383" s="92" t="s">
        <v>1331</v>
      </c>
      <c r="AD383" s="84"/>
      <c r="AE383" s="84" t="b">
        <v>0</v>
      </c>
      <c r="AF383" s="84">
        <v>5</v>
      </c>
      <c r="AG383" s="92" t="s">
        <v>1724</v>
      </c>
      <c r="AH383" s="84" t="b">
        <v>0</v>
      </c>
      <c r="AI383" s="84" t="s">
        <v>1750</v>
      </c>
      <c r="AJ383" s="84"/>
      <c r="AK383" s="92" t="s">
        <v>1724</v>
      </c>
      <c r="AL383" s="84" t="b">
        <v>0</v>
      </c>
      <c r="AM383" s="84">
        <v>0</v>
      </c>
      <c r="AN383" s="92" t="s">
        <v>1724</v>
      </c>
      <c r="AO383" s="84" t="s">
        <v>1764</v>
      </c>
      <c r="AP383" s="84" t="b">
        <v>0</v>
      </c>
      <c r="AQ383" s="92" t="s">
        <v>1331</v>
      </c>
      <c r="AR383" s="84" t="s">
        <v>179</v>
      </c>
      <c r="AS383" s="84">
        <v>0</v>
      </c>
      <c r="AT383" s="84">
        <v>0</v>
      </c>
      <c r="AU383" s="84"/>
      <c r="AV383" s="84"/>
      <c r="AW383" s="84"/>
      <c r="AX383" s="84"/>
      <c r="AY383" s="84"/>
      <c r="AZ383" s="84"/>
      <c r="BA383" s="84"/>
      <c r="BB383" s="84"/>
    </row>
    <row r="384" spans="1:54" x14ac:dyDescent="0.2">
      <c r="A384" s="69" t="s">
        <v>264</v>
      </c>
      <c r="B384" s="69" t="s">
        <v>263</v>
      </c>
      <c r="C384" s="70"/>
      <c r="D384" s="71"/>
      <c r="E384" s="72"/>
      <c r="F384" s="73"/>
      <c r="G384" s="70"/>
      <c r="H384" s="74"/>
      <c r="I384" s="75"/>
      <c r="J384" s="75"/>
      <c r="K384" s="36"/>
      <c r="L384" s="82"/>
      <c r="M384" s="82"/>
      <c r="N384" s="77"/>
      <c r="O384" s="84" t="s">
        <v>501</v>
      </c>
      <c r="P384" s="86">
        <v>44019.195115740738</v>
      </c>
      <c r="Q384" s="84" t="s">
        <v>555</v>
      </c>
      <c r="R384" s="84"/>
      <c r="S384" s="84"/>
      <c r="T384" s="84" t="s">
        <v>802</v>
      </c>
      <c r="U384" s="87" t="str">
        <f>HYPERLINK("https://pbs.twimg.com/media/EcTBqkdWkAU2FMx.jpg")</f>
        <v>https://pbs.twimg.com/media/EcTBqkdWkAU2FMx.jpg</v>
      </c>
      <c r="V384" s="87" t="str">
        <f>HYPERLINK("https://pbs.twimg.com/media/EcTBqkdWkAU2FMx.jpg")</f>
        <v>https://pbs.twimg.com/media/EcTBqkdWkAU2FMx.jpg</v>
      </c>
      <c r="W384" s="86">
        <v>44019.195115740738</v>
      </c>
      <c r="X384" s="90">
        <v>44019</v>
      </c>
      <c r="Y384" s="92" t="s">
        <v>924</v>
      </c>
      <c r="Z384" s="87" t="str">
        <f>HYPERLINK("https://twitter.com/peteswiftysan/status/1280361139419992065")</f>
        <v>https://twitter.com/peteswiftysan/status/1280361139419992065</v>
      </c>
      <c r="AA384" s="84"/>
      <c r="AB384" s="84"/>
      <c r="AC384" s="92" t="s">
        <v>1343</v>
      </c>
      <c r="AD384" s="84"/>
      <c r="AE384" s="84" t="b">
        <v>0</v>
      </c>
      <c r="AF384" s="84">
        <v>10</v>
      </c>
      <c r="AG384" s="92" t="s">
        <v>1724</v>
      </c>
      <c r="AH384" s="84" t="b">
        <v>0</v>
      </c>
      <c r="AI384" s="84" t="s">
        <v>1751</v>
      </c>
      <c r="AJ384" s="84"/>
      <c r="AK384" s="92" t="s">
        <v>1724</v>
      </c>
      <c r="AL384" s="84" t="b">
        <v>0</v>
      </c>
      <c r="AM384" s="84">
        <v>0</v>
      </c>
      <c r="AN384" s="92" t="s">
        <v>1724</v>
      </c>
      <c r="AO384" s="84" t="s">
        <v>1763</v>
      </c>
      <c r="AP384" s="84" t="b">
        <v>0</v>
      </c>
      <c r="AQ384" s="92" t="s">
        <v>1343</v>
      </c>
      <c r="AR384" s="84" t="s">
        <v>179</v>
      </c>
      <c r="AS384" s="84">
        <v>0</v>
      </c>
      <c r="AT384" s="84">
        <v>0</v>
      </c>
      <c r="AU384" s="84"/>
      <c r="AV384" s="84"/>
      <c r="AW384" s="84"/>
      <c r="AX384" s="84"/>
      <c r="AY384" s="84"/>
      <c r="AZ384" s="84"/>
      <c r="BA384" s="84"/>
      <c r="BB384" s="84"/>
    </row>
    <row r="385" spans="1:54" x14ac:dyDescent="0.2">
      <c r="A385" s="69" t="s">
        <v>348</v>
      </c>
      <c r="B385" s="69" t="s">
        <v>348</v>
      </c>
      <c r="C385" s="70"/>
      <c r="D385" s="71"/>
      <c r="E385" s="72"/>
      <c r="F385" s="73"/>
      <c r="G385" s="70"/>
      <c r="H385" s="74"/>
      <c r="I385" s="75"/>
      <c r="J385" s="75"/>
      <c r="K385" s="36"/>
      <c r="L385" s="82"/>
      <c r="M385" s="82"/>
      <c r="N385" s="77"/>
      <c r="O385" s="84" t="s">
        <v>179</v>
      </c>
      <c r="P385" s="86">
        <v>44019.158113425925</v>
      </c>
      <c r="Q385" s="84" t="s">
        <v>653</v>
      </c>
      <c r="R385" s="87" t="str">
        <f>HYPERLINK("https://twitter.com/UltimaSnorlax/status/1280284655518748672")</f>
        <v>https://twitter.com/UltimaSnorlax/status/1280284655518748672</v>
      </c>
      <c r="S385" s="84" t="s">
        <v>755</v>
      </c>
      <c r="T385" s="84" t="s">
        <v>781</v>
      </c>
      <c r="U385" s="84"/>
      <c r="V385" s="87" t="str">
        <f>HYPERLINK("http://pbs.twimg.com/profile_images/1122800287469596678/zXM4gig-_normal.jpg")</f>
        <v>http://pbs.twimg.com/profile_images/1122800287469596678/zXM4gig-_normal.jpg</v>
      </c>
      <c r="W385" s="86">
        <v>44019.158113425925</v>
      </c>
      <c r="X385" s="90">
        <v>44019</v>
      </c>
      <c r="Y385" s="92" t="s">
        <v>1053</v>
      </c>
      <c r="Z385" s="87" t="str">
        <f>HYPERLINK("https://twitter.com/ultimasnorlax/status/1280347733207867393")</f>
        <v>https://twitter.com/ultimasnorlax/status/1280347733207867393</v>
      </c>
      <c r="AA385" s="84"/>
      <c r="AB385" s="84"/>
      <c r="AC385" s="92" t="s">
        <v>1472</v>
      </c>
      <c r="AD385" s="84"/>
      <c r="AE385" s="84" t="b">
        <v>0</v>
      </c>
      <c r="AF385" s="84">
        <v>8</v>
      </c>
      <c r="AG385" s="92" t="s">
        <v>1724</v>
      </c>
      <c r="AH385" s="84" t="b">
        <v>1</v>
      </c>
      <c r="AI385" s="84" t="s">
        <v>1750</v>
      </c>
      <c r="AJ385" s="84"/>
      <c r="AK385" s="92" t="s">
        <v>1470</v>
      </c>
      <c r="AL385" s="84" t="b">
        <v>0</v>
      </c>
      <c r="AM385" s="84">
        <v>0</v>
      </c>
      <c r="AN385" s="92" t="s">
        <v>1724</v>
      </c>
      <c r="AO385" s="84" t="s">
        <v>1763</v>
      </c>
      <c r="AP385" s="84" t="b">
        <v>0</v>
      </c>
      <c r="AQ385" s="92" t="s">
        <v>1472</v>
      </c>
      <c r="AR385" s="84" t="s">
        <v>179</v>
      </c>
      <c r="AS385" s="84">
        <v>0</v>
      </c>
      <c r="AT385" s="84">
        <v>0</v>
      </c>
      <c r="AU385" s="84"/>
      <c r="AV385" s="84"/>
      <c r="AW385" s="84"/>
      <c r="AX385" s="84"/>
      <c r="AY385" s="84"/>
      <c r="AZ385" s="84"/>
      <c r="BA385" s="84"/>
      <c r="BB385" s="84"/>
    </row>
    <row r="386" spans="1:54" x14ac:dyDescent="0.2">
      <c r="A386" s="69" t="s">
        <v>264</v>
      </c>
      <c r="B386" s="69" t="s">
        <v>263</v>
      </c>
      <c r="C386" s="70"/>
      <c r="D386" s="71"/>
      <c r="E386" s="72"/>
      <c r="F386" s="73"/>
      <c r="G386" s="70"/>
      <c r="H386" s="74"/>
      <c r="I386" s="75"/>
      <c r="J386" s="75"/>
      <c r="K386" s="36"/>
      <c r="L386" s="82"/>
      <c r="M386" s="82"/>
      <c r="N386" s="77"/>
      <c r="O386" s="84" t="s">
        <v>501</v>
      </c>
      <c r="P386" s="86">
        <v>44019.127395833333</v>
      </c>
      <c r="Q386" s="84" t="s">
        <v>554</v>
      </c>
      <c r="R386" s="87" t="str">
        <f>HYPERLINK("https://bikepacking.com/plog/wayfarer-centenary-weekend/")</f>
        <v>https://bikepacking.com/plog/wayfarer-centenary-weekend/</v>
      </c>
      <c r="S386" s="84" t="s">
        <v>766</v>
      </c>
      <c r="T386" s="84" t="s">
        <v>801</v>
      </c>
      <c r="U386" s="87" t="str">
        <f>HYPERLINK("https://pbs.twimg.com/media/EcSrVVgXgAA-Uwb.jpg")</f>
        <v>https://pbs.twimg.com/media/EcSrVVgXgAA-Uwb.jpg</v>
      </c>
      <c r="V386" s="87" t="str">
        <f>HYPERLINK("https://pbs.twimg.com/media/EcSrVVgXgAA-Uwb.jpg")</f>
        <v>https://pbs.twimg.com/media/EcSrVVgXgAA-Uwb.jpg</v>
      </c>
      <c r="W386" s="86">
        <v>44019.127395833333</v>
      </c>
      <c r="X386" s="90">
        <v>44019</v>
      </c>
      <c r="Y386" s="92" t="s">
        <v>923</v>
      </c>
      <c r="Z386" s="87" t="str">
        <f>HYPERLINK("https://twitter.com/peteswiftysan/status/1280336599063158790")</f>
        <v>https://twitter.com/peteswiftysan/status/1280336599063158790</v>
      </c>
      <c r="AA386" s="84"/>
      <c r="AB386" s="84"/>
      <c r="AC386" s="92" t="s">
        <v>1342</v>
      </c>
      <c r="AD386" s="84"/>
      <c r="AE386" s="84" t="b">
        <v>0</v>
      </c>
      <c r="AF386" s="84">
        <v>30</v>
      </c>
      <c r="AG386" s="92" t="s">
        <v>1724</v>
      </c>
      <c r="AH386" s="84" t="b">
        <v>0</v>
      </c>
      <c r="AI386" s="84" t="s">
        <v>1751</v>
      </c>
      <c r="AJ386" s="84"/>
      <c r="AK386" s="92" t="s">
        <v>1724</v>
      </c>
      <c r="AL386" s="84" t="b">
        <v>0</v>
      </c>
      <c r="AM386" s="84">
        <v>0</v>
      </c>
      <c r="AN386" s="92" t="s">
        <v>1724</v>
      </c>
      <c r="AO386" s="84" t="s">
        <v>1763</v>
      </c>
      <c r="AP386" s="84" t="b">
        <v>0</v>
      </c>
      <c r="AQ386" s="92" t="s">
        <v>1342</v>
      </c>
      <c r="AR386" s="84" t="s">
        <v>179</v>
      </c>
      <c r="AS386" s="84">
        <v>0</v>
      </c>
      <c r="AT386" s="84">
        <v>0</v>
      </c>
      <c r="AU386" s="84"/>
      <c r="AV386" s="84"/>
      <c r="AW386" s="84"/>
      <c r="AX386" s="84"/>
      <c r="AY386" s="84"/>
      <c r="AZ386" s="84"/>
      <c r="BA386" s="84"/>
      <c r="BB386" s="84"/>
    </row>
    <row r="387" spans="1:54" x14ac:dyDescent="0.2">
      <c r="A387" s="69" t="s">
        <v>256</v>
      </c>
      <c r="B387" s="69" t="s">
        <v>255</v>
      </c>
      <c r="C387" s="70"/>
      <c r="D387" s="71"/>
      <c r="E387" s="72"/>
      <c r="F387" s="73"/>
      <c r="G387" s="70"/>
      <c r="H387" s="74"/>
      <c r="I387" s="75"/>
      <c r="J387" s="75"/>
      <c r="K387" s="36"/>
      <c r="L387" s="82"/>
      <c r="M387" s="82"/>
      <c r="N387" s="77"/>
      <c r="O387" s="84" t="s">
        <v>500</v>
      </c>
      <c r="P387" s="86">
        <v>44019.057754629626</v>
      </c>
      <c r="Q387" s="84" t="s">
        <v>543</v>
      </c>
      <c r="R387" s="84"/>
      <c r="S387" s="84"/>
      <c r="T387" s="84" t="s">
        <v>797</v>
      </c>
      <c r="U387" s="84"/>
      <c r="V387" s="87" t="str">
        <f>HYPERLINK("http://abs.twimg.com/sticky/default_profile_images/default_profile_normal.png")</f>
        <v>http://abs.twimg.com/sticky/default_profile_images/default_profile_normal.png</v>
      </c>
      <c r="W387" s="86">
        <v>44019.057754629626</v>
      </c>
      <c r="X387" s="90">
        <v>44019</v>
      </c>
      <c r="Y387" s="92" t="s">
        <v>911</v>
      </c>
      <c r="Z387" s="87" t="str">
        <f>HYPERLINK("https://twitter.com/marilou858/status/1280311360870666240")</f>
        <v>https://twitter.com/marilou858/status/1280311360870666240</v>
      </c>
      <c r="AA387" s="84"/>
      <c r="AB387" s="84"/>
      <c r="AC387" s="92" t="s">
        <v>1330</v>
      </c>
      <c r="AD387" s="84"/>
      <c r="AE387" s="84" t="b">
        <v>0</v>
      </c>
      <c r="AF387" s="84">
        <v>0</v>
      </c>
      <c r="AG387" s="92" t="s">
        <v>1724</v>
      </c>
      <c r="AH387" s="84" t="b">
        <v>0</v>
      </c>
      <c r="AI387" s="84" t="s">
        <v>1753</v>
      </c>
      <c r="AJ387" s="84"/>
      <c r="AK387" s="92" t="s">
        <v>1724</v>
      </c>
      <c r="AL387" s="84" t="b">
        <v>0</v>
      </c>
      <c r="AM387" s="84">
        <v>2</v>
      </c>
      <c r="AN387" s="92" t="s">
        <v>1329</v>
      </c>
      <c r="AO387" s="84" t="s">
        <v>1766</v>
      </c>
      <c r="AP387" s="84" t="b">
        <v>0</v>
      </c>
      <c r="AQ387" s="92" t="s">
        <v>1329</v>
      </c>
      <c r="AR387" s="84" t="s">
        <v>179</v>
      </c>
      <c r="AS387" s="84">
        <v>0</v>
      </c>
      <c r="AT387" s="84">
        <v>0</v>
      </c>
      <c r="AU387" s="84"/>
      <c r="AV387" s="84"/>
      <c r="AW387" s="84"/>
      <c r="AX387" s="84"/>
      <c r="AY387" s="84"/>
      <c r="AZ387" s="84"/>
      <c r="BA387" s="84"/>
      <c r="BB387" s="84"/>
    </row>
    <row r="388" spans="1:54" x14ac:dyDescent="0.2">
      <c r="A388" s="69" t="s">
        <v>254</v>
      </c>
      <c r="B388" s="69" t="s">
        <v>255</v>
      </c>
      <c r="C388" s="70"/>
      <c r="D388" s="71"/>
      <c r="E388" s="72"/>
      <c r="F388" s="73"/>
      <c r="G388" s="70"/>
      <c r="H388" s="74"/>
      <c r="I388" s="75"/>
      <c r="J388" s="75"/>
      <c r="K388" s="36"/>
      <c r="L388" s="82"/>
      <c r="M388" s="82"/>
      <c r="N388" s="77"/>
      <c r="O388" s="84" t="s">
        <v>500</v>
      </c>
      <c r="P388" s="86">
        <v>44019.014965277776</v>
      </c>
      <c r="Q388" s="84" t="s">
        <v>543</v>
      </c>
      <c r="R388" s="84"/>
      <c r="S388" s="84"/>
      <c r="T388" s="84" t="s">
        <v>797</v>
      </c>
      <c r="U388" s="84"/>
      <c r="V388" s="87" t="str">
        <f>HYPERLINK("http://pbs.twimg.com/profile_images/1270821329730756608/NmvU3CBn_normal.jpg")</f>
        <v>http://pbs.twimg.com/profile_images/1270821329730756608/NmvU3CBn_normal.jpg</v>
      </c>
      <c r="W388" s="86">
        <v>44019.014965277776</v>
      </c>
      <c r="X388" s="90">
        <v>44019</v>
      </c>
      <c r="Y388" s="92" t="s">
        <v>909</v>
      </c>
      <c r="Z388" s="87" t="str">
        <f>HYPERLINK("https://twitter.com/twitrpartner/status/1280295856034459653")</f>
        <v>https://twitter.com/twitrpartner/status/1280295856034459653</v>
      </c>
      <c r="AA388" s="84"/>
      <c r="AB388" s="84"/>
      <c r="AC388" s="92" t="s">
        <v>1328</v>
      </c>
      <c r="AD388" s="84"/>
      <c r="AE388" s="84" t="b">
        <v>0</v>
      </c>
      <c r="AF388" s="84">
        <v>0</v>
      </c>
      <c r="AG388" s="92" t="s">
        <v>1724</v>
      </c>
      <c r="AH388" s="84" t="b">
        <v>0</v>
      </c>
      <c r="AI388" s="84" t="s">
        <v>1753</v>
      </c>
      <c r="AJ388" s="84"/>
      <c r="AK388" s="92" t="s">
        <v>1724</v>
      </c>
      <c r="AL388" s="84" t="b">
        <v>0</v>
      </c>
      <c r="AM388" s="84">
        <v>2</v>
      </c>
      <c r="AN388" s="92" t="s">
        <v>1329</v>
      </c>
      <c r="AO388" s="84" t="s">
        <v>1766</v>
      </c>
      <c r="AP388" s="84" t="b">
        <v>0</v>
      </c>
      <c r="AQ388" s="92" t="s">
        <v>1329</v>
      </c>
      <c r="AR388" s="84" t="s">
        <v>179</v>
      </c>
      <c r="AS388" s="84">
        <v>0</v>
      </c>
      <c r="AT388" s="84">
        <v>0</v>
      </c>
      <c r="AU388" s="84"/>
      <c r="AV388" s="84"/>
      <c r="AW388" s="84"/>
      <c r="AX388" s="84"/>
      <c r="AY388" s="84"/>
      <c r="AZ388" s="84"/>
      <c r="BA388" s="84"/>
      <c r="BB388" s="84"/>
    </row>
    <row r="389" spans="1:54" x14ac:dyDescent="0.2">
      <c r="A389" s="69" t="s">
        <v>314</v>
      </c>
      <c r="B389" s="69" t="s">
        <v>314</v>
      </c>
      <c r="C389" s="70"/>
      <c r="D389" s="71"/>
      <c r="E389" s="72"/>
      <c r="F389" s="73"/>
      <c r="G389" s="70"/>
      <c r="H389" s="74"/>
      <c r="I389" s="75"/>
      <c r="J389" s="75"/>
      <c r="K389" s="36"/>
      <c r="L389" s="82"/>
      <c r="M389" s="82"/>
      <c r="N389" s="77"/>
      <c r="O389" s="84" t="s">
        <v>179</v>
      </c>
      <c r="P389" s="86">
        <v>44019.01054398148</v>
      </c>
      <c r="Q389" s="84" t="s">
        <v>597</v>
      </c>
      <c r="R389" s="84"/>
      <c r="S389" s="84"/>
      <c r="T389" s="84" t="s">
        <v>819</v>
      </c>
      <c r="U389" s="87" t="str">
        <f>HYPERLINK("https://pbs.twimg.com/media/EcSE1leU4AER1dz.jpg")</f>
        <v>https://pbs.twimg.com/media/EcSE1leU4AER1dz.jpg</v>
      </c>
      <c r="V389" s="87" t="str">
        <f>HYPERLINK("https://pbs.twimg.com/media/EcSE1leU4AER1dz.jpg")</f>
        <v>https://pbs.twimg.com/media/EcSE1leU4AER1dz.jpg</v>
      </c>
      <c r="W389" s="86">
        <v>44019.01054398148</v>
      </c>
      <c r="X389" s="90">
        <v>44019</v>
      </c>
      <c r="Y389" s="92" t="s">
        <v>984</v>
      </c>
      <c r="Z389" s="87" t="str">
        <f>HYPERLINK("https://twitter.com/coolportraitgil/status/1280294254049288192")</f>
        <v>https://twitter.com/coolportraitgil/status/1280294254049288192</v>
      </c>
      <c r="AA389" s="84"/>
      <c r="AB389" s="84"/>
      <c r="AC389" s="92" t="s">
        <v>1403</v>
      </c>
      <c r="AD389" s="84"/>
      <c r="AE389" s="84" t="b">
        <v>0</v>
      </c>
      <c r="AF389" s="84">
        <v>1</v>
      </c>
      <c r="AG389" s="92" t="s">
        <v>1724</v>
      </c>
      <c r="AH389" s="84" t="b">
        <v>0</v>
      </c>
      <c r="AI389" s="84" t="s">
        <v>1750</v>
      </c>
      <c r="AJ389" s="84"/>
      <c r="AK389" s="92" t="s">
        <v>1724</v>
      </c>
      <c r="AL389" s="84" t="b">
        <v>0</v>
      </c>
      <c r="AM389" s="84">
        <v>0</v>
      </c>
      <c r="AN389" s="92" t="s">
        <v>1724</v>
      </c>
      <c r="AO389" s="84" t="s">
        <v>1763</v>
      </c>
      <c r="AP389" s="84" t="b">
        <v>0</v>
      </c>
      <c r="AQ389" s="92" t="s">
        <v>1403</v>
      </c>
      <c r="AR389" s="84" t="s">
        <v>179</v>
      </c>
      <c r="AS389" s="84">
        <v>0</v>
      </c>
      <c r="AT389" s="84">
        <v>0</v>
      </c>
      <c r="AU389" s="84"/>
      <c r="AV389" s="84"/>
      <c r="AW389" s="84"/>
      <c r="AX389" s="84"/>
      <c r="AY389" s="84"/>
      <c r="AZ389" s="84"/>
      <c r="BA389" s="84"/>
      <c r="BB389" s="84"/>
    </row>
    <row r="390" spans="1:54" x14ac:dyDescent="0.2">
      <c r="A390" s="69" t="s">
        <v>253</v>
      </c>
      <c r="B390" s="69" t="s">
        <v>253</v>
      </c>
      <c r="C390" s="70"/>
      <c r="D390" s="71"/>
      <c r="E390" s="72"/>
      <c r="F390" s="73"/>
      <c r="G390" s="70"/>
      <c r="H390" s="74"/>
      <c r="I390" s="75"/>
      <c r="J390" s="75"/>
      <c r="K390" s="36"/>
      <c r="L390" s="82"/>
      <c r="M390" s="82"/>
      <c r="N390" s="77"/>
      <c r="O390" s="84" t="s">
        <v>179</v>
      </c>
      <c r="P390" s="86">
        <v>44018.996446759258</v>
      </c>
      <c r="Q390" s="84" t="s">
        <v>542</v>
      </c>
      <c r="R390" s="84"/>
      <c r="S390" s="84"/>
      <c r="T390" s="84" t="s">
        <v>796</v>
      </c>
      <c r="U390" s="84"/>
      <c r="V390" s="87" t="str">
        <f>HYPERLINK("http://pbs.twimg.com/profile_images/875568445168865280/5TmUiQN__normal.jpg")</f>
        <v>http://pbs.twimg.com/profile_images/875568445168865280/5TmUiQN__normal.jpg</v>
      </c>
      <c r="W390" s="86">
        <v>44018.996446759258</v>
      </c>
      <c r="X390" s="90">
        <v>44018</v>
      </c>
      <c r="Y390" s="92" t="s">
        <v>908</v>
      </c>
      <c r="Z390" s="87" t="str">
        <f>HYPERLINK("https://twitter.com/magi_touhou298/status/1280289146498514944")</f>
        <v>https://twitter.com/magi_touhou298/status/1280289146498514944</v>
      </c>
      <c r="AA390" s="84"/>
      <c r="AB390" s="84"/>
      <c r="AC390" s="92" t="s">
        <v>1327</v>
      </c>
      <c r="AD390" s="84"/>
      <c r="AE390" s="84" t="b">
        <v>0</v>
      </c>
      <c r="AF390" s="84">
        <v>1</v>
      </c>
      <c r="AG390" s="92" t="s">
        <v>1724</v>
      </c>
      <c r="AH390" s="84" t="b">
        <v>0</v>
      </c>
      <c r="AI390" s="84" t="s">
        <v>1750</v>
      </c>
      <c r="AJ390" s="84"/>
      <c r="AK390" s="92" t="s">
        <v>1724</v>
      </c>
      <c r="AL390" s="84" t="b">
        <v>0</v>
      </c>
      <c r="AM390" s="84">
        <v>0</v>
      </c>
      <c r="AN390" s="92" t="s">
        <v>1724</v>
      </c>
      <c r="AO390" s="84" t="s">
        <v>1766</v>
      </c>
      <c r="AP390" s="84" t="b">
        <v>0</v>
      </c>
      <c r="AQ390" s="92" t="s">
        <v>1327</v>
      </c>
      <c r="AR390" s="84" t="s">
        <v>179</v>
      </c>
      <c r="AS390" s="84">
        <v>0</v>
      </c>
      <c r="AT390" s="84">
        <v>0</v>
      </c>
      <c r="AU390" s="84"/>
      <c r="AV390" s="84"/>
      <c r="AW390" s="84"/>
      <c r="AX390" s="84"/>
      <c r="AY390" s="84"/>
      <c r="AZ390" s="84"/>
      <c r="BA390" s="84"/>
      <c r="BB390" s="84"/>
    </row>
    <row r="391" spans="1:54" x14ac:dyDescent="0.2">
      <c r="A391" s="69" t="s">
        <v>348</v>
      </c>
      <c r="B391" s="69" t="s">
        <v>348</v>
      </c>
      <c r="C391" s="70"/>
      <c r="D391" s="71"/>
      <c r="E391" s="72"/>
      <c r="F391" s="73"/>
      <c r="G391" s="70"/>
      <c r="H391" s="74"/>
      <c r="I391" s="75"/>
      <c r="J391" s="75"/>
      <c r="K391" s="36"/>
      <c r="L391" s="82"/>
      <c r="M391" s="82"/>
      <c r="N391" s="77"/>
      <c r="O391" s="84" t="s">
        <v>179</v>
      </c>
      <c r="P391" s="86">
        <v>44018.988483796296</v>
      </c>
      <c r="Q391" s="84" t="s">
        <v>652</v>
      </c>
      <c r="R391" s="84"/>
      <c r="S391" s="84"/>
      <c r="T391" s="84" t="s">
        <v>781</v>
      </c>
      <c r="U391" s="84"/>
      <c r="V391" s="87" t="str">
        <f>HYPERLINK("http://pbs.twimg.com/profile_images/1122800287469596678/zXM4gig-_normal.jpg")</f>
        <v>http://pbs.twimg.com/profile_images/1122800287469596678/zXM4gig-_normal.jpg</v>
      </c>
      <c r="W391" s="86">
        <v>44018.988483796296</v>
      </c>
      <c r="X391" s="90">
        <v>44018</v>
      </c>
      <c r="Y391" s="92" t="s">
        <v>1052</v>
      </c>
      <c r="Z391" s="87" t="str">
        <f>HYPERLINK("https://twitter.com/ultimasnorlax/status/1280286260481802241")</f>
        <v>https://twitter.com/ultimasnorlax/status/1280286260481802241</v>
      </c>
      <c r="AA391" s="84"/>
      <c r="AB391" s="84"/>
      <c r="AC391" s="92" t="s">
        <v>1471</v>
      </c>
      <c r="AD391" s="92" t="s">
        <v>1470</v>
      </c>
      <c r="AE391" s="84" t="b">
        <v>0</v>
      </c>
      <c r="AF391" s="84">
        <v>0</v>
      </c>
      <c r="AG391" s="92" t="s">
        <v>1737</v>
      </c>
      <c r="AH391" s="84" t="b">
        <v>0</v>
      </c>
      <c r="AI391" s="84" t="s">
        <v>1750</v>
      </c>
      <c r="AJ391" s="84"/>
      <c r="AK391" s="92" t="s">
        <v>1724</v>
      </c>
      <c r="AL391" s="84" t="b">
        <v>0</v>
      </c>
      <c r="AM391" s="84">
        <v>0</v>
      </c>
      <c r="AN391" s="92" t="s">
        <v>1724</v>
      </c>
      <c r="AO391" s="84" t="s">
        <v>1763</v>
      </c>
      <c r="AP391" s="84" t="b">
        <v>0</v>
      </c>
      <c r="AQ391" s="92" t="s">
        <v>1470</v>
      </c>
      <c r="AR391" s="84" t="s">
        <v>179</v>
      </c>
      <c r="AS391" s="84">
        <v>0</v>
      </c>
      <c r="AT391" s="84">
        <v>0</v>
      </c>
      <c r="AU391" s="84"/>
      <c r="AV391" s="84"/>
      <c r="AW391" s="84"/>
      <c r="AX391" s="84"/>
      <c r="AY391" s="84"/>
      <c r="AZ391" s="84"/>
      <c r="BA391" s="84"/>
      <c r="BB391" s="84"/>
    </row>
    <row r="392" spans="1:54" x14ac:dyDescent="0.2">
      <c r="A392" s="69" t="s">
        <v>348</v>
      </c>
      <c r="B392" s="69" t="s">
        <v>348</v>
      </c>
      <c r="C392" s="70"/>
      <c r="D392" s="71"/>
      <c r="E392" s="72"/>
      <c r="F392" s="73"/>
      <c r="G392" s="70"/>
      <c r="H392" s="74"/>
      <c r="I392" s="75"/>
      <c r="J392" s="75"/>
      <c r="K392" s="36"/>
      <c r="L392" s="82"/>
      <c r="M392" s="82"/>
      <c r="N392" s="77"/>
      <c r="O392" s="84" t="s">
        <v>179</v>
      </c>
      <c r="P392" s="86">
        <v>44018.9840625</v>
      </c>
      <c r="Q392" s="84" t="s">
        <v>651</v>
      </c>
      <c r="R392" s="84"/>
      <c r="S392" s="84"/>
      <c r="T392" s="84" t="s">
        <v>781</v>
      </c>
      <c r="U392" s="84"/>
      <c r="V392" s="87" t="str">
        <f>HYPERLINK("http://pbs.twimg.com/profile_images/1122800287469596678/zXM4gig-_normal.jpg")</f>
        <v>http://pbs.twimg.com/profile_images/1122800287469596678/zXM4gig-_normal.jpg</v>
      </c>
      <c r="W392" s="86">
        <v>44018.9840625</v>
      </c>
      <c r="X392" s="90">
        <v>44018</v>
      </c>
      <c r="Y392" s="92" t="s">
        <v>1051</v>
      </c>
      <c r="Z392" s="87" t="str">
        <f>HYPERLINK("https://twitter.com/ultimasnorlax/status/1280284655518748672")</f>
        <v>https://twitter.com/ultimasnorlax/status/1280284655518748672</v>
      </c>
      <c r="AA392" s="84"/>
      <c r="AB392" s="84"/>
      <c r="AC392" s="92" t="s">
        <v>1470</v>
      </c>
      <c r="AD392" s="84"/>
      <c r="AE392" s="84" t="b">
        <v>0</v>
      </c>
      <c r="AF392" s="84">
        <v>11</v>
      </c>
      <c r="AG392" s="92" t="s">
        <v>1724</v>
      </c>
      <c r="AH392" s="84" t="b">
        <v>0</v>
      </c>
      <c r="AI392" s="84" t="s">
        <v>1750</v>
      </c>
      <c r="AJ392" s="84"/>
      <c r="AK392" s="92" t="s">
        <v>1724</v>
      </c>
      <c r="AL392" s="84" t="b">
        <v>0</v>
      </c>
      <c r="AM392" s="84">
        <v>0</v>
      </c>
      <c r="AN392" s="92" t="s">
        <v>1724</v>
      </c>
      <c r="AO392" s="84" t="s">
        <v>1763</v>
      </c>
      <c r="AP392" s="84" t="b">
        <v>0</v>
      </c>
      <c r="AQ392" s="92" t="s">
        <v>1470</v>
      </c>
      <c r="AR392" s="84" t="s">
        <v>179</v>
      </c>
      <c r="AS392" s="84">
        <v>0</v>
      </c>
      <c r="AT392" s="84">
        <v>0</v>
      </c>
      <c r="AU392" s="84"/>
      <c r="AV392" s="84"/>
      <c r="AW392" s="84"/>
      <c r="AX392" s="84"/>
      <c r="AY392" s="84"/>
      <c r="AZ392" s="84"/>
      <c r="BA392" s="84"/>
      <c r="BB392" s="84"/>
    </row>
    <row r="393" spans="1:54" x14ac:dyDescent="0.2">
      <c r="A393" s="69" t="s">
        <v>252</v>
      </c>
      <c r="B393" s="69" t="s">
        <v>409</v>
      </c>
      <c r="C393" s="70"/>
      <c r="D393" s="71"/>
      <c r="E393" s="72"/>
      <c r="F393" s="73"/>
      <c r="G393" s="70"/>
      <c r="H393" s="74"/>
      <c r="I393" s="75"/>
      <c r="J393" s="75"/>
      <c r="K393" s="36"/>
      <c r="L393" s="82"/>
      <c r="M393" s="82"/>
      <c r="N393" s="77"/>
      <c r="O393" s="84" t="s">
        <v>500</v>
      </c>
      <c r="P393" s="86">
        <v>44018.976863425924</v>
      </c>
      <c r="Q393" s="84" t="s">
        <v>541</v>
      </c>
      <c r="R393" s="84"/>
      <c r="S393" s="84"/>
      <c r="T393" s="84"/>
      <c r="U393" s="84"/>
      <c r="V393" s="87" t="str">
        <f>HYPERLINK("http://pbs.twimg.com/profile_images/1089380394644860929/jLFgoYn2_normal.jpg")</f>
        <v>http://pbs.twimg.com/profile_images/1089380394644860929/jLFgoYn2_normal.jpg</v>
      </c>
      <c r="W393" s="86">
        <v>44018.976863425924</v>
      </c>
      <c r="X393" s="90">
        <v>44018</v>
      </c>
      <c r="Y393" s="92" t="s">
        <v>907</v>
      </c>
      <c r="Z393" s="87" t="str">
        <f>HYPERLINK("https://twitter.com/railway_fox/status/1280282048511406080")</f>
        <v>https://twitter.com/railway_fox/status/1280282048511406080</v>
      </c>
      <c r="AA393" s="84"/>
      <c r="AB393" s="84"/>
      <c r="AC393" s="92" t="s">
        <v>1326</v>
      </c>
      <c r="AD393" s="84"/>
      <c r="AE393" s="84" t="b">
        <v>0</v>
      </c>
      <c r="AF393" s="84">
        <v>0</v>
      </c>
      <c r="AG393" s="92" t="s">
        <v>1724</v>
      </c>
      <c r="AH393" s="84" t="b">
        <v>0</v>
      </c>
      <c r="AI393" s="84" t="s">
        <v>1750</v>
      </c>
      <c r="AJ393" s="84"/>
      <c r="AK393" s="92" t="s">
        <v>1724</v>
      </c>
      <c r="AL393" s="84" t="b">
        <v>0</v>
      </c>
      <c r="AM393" s="84">
        <v>2</v>
      </c>
      <c r="AN393" s="92" t="s">
        <v>1585</v>
      </c>
      <c r="AO393" s="84" t="s">
        <v>1763</v>
      </c>
      <c r="AP393" s="84" t="b">
        <v>0</v>
      </c>
      <c r="AQ393" s="92" t="s">
        <v>1585</v>
      </c>
      <c r="AR393" s="84" t="s">
        <v>179</v>
      </c>
      <c r="AS393" s="84">
        <v>0</v>
      </c>
      <c r="AT393" s="84">
        <v>0</v>
      </c>
      <c r="AU393" s="84"/>
      <c r="AV393" s="84"/>
      <c r="AW393" s="84"/>
      <c r="AX393" s="84"/>
      <c r="AY393" s="84"/>
      <c r="AZ393" s="84"/>
      <c r="BA393" s="84"/>
      <c r="BB393" s="84"/>
    </row>
    <row r="394" spans="1:54" x14ac:dyDescent="0.2">
      <c r="A394" s="69" t="s">
        <v>251</v>
      </c>
      <c r="B394" s="69" t="s">
        <v>250</v>
      </c>
      <c r="C394" s="70"/>
      <c r="D394" s="71"/>
      <c r="E394" s="72"/>
      <c r="F394" s="73"/>
      <c r="G394" s="70"/>
      <c r="H394" s="74"/>
      <c r="I394" s="75"/>
      <c r="J394" s="75"/>
      <c r="K394" s="36"/>
      <c r="L394" s="82"/>
      <c r="M394" s="82"/>
      <c r="N394" s="77"/>
      <c r="O394" s="84" t="s">
        <v>500</v>
      </c>
      <c r="P394" s="86">
        <v>44018.947106481479</v>
      </c>
      <c r="Q394" s="84" t="s">
        <v>540</v>
      </c>
      <c r="R394" s="84"/>
      <c r="S394" s="84"/>
      <c r="T394" s="84" t="s">
        <v>795</v>
      </c>
      <c r="U394" s="84"/>
      <c r="V394" s="87" t="str">
        <f>HYPERLINK("http://pbs.twimg.com/profile_images/988069635739140096/ryFbp7ap_normal.jpg")</f>
        <v>http://pbs.twimg.com/profile_images/988069635739140096/ryFbp7ap_normal.jpg</v>
      </c>
      <c r="W394" s="86">
        <v>44018.947106481479</v>
      </c>
      <c r="X394" s="90">
        <v>44018</v>
      </c>
      <c r="Y394" s="92" t="s">
        <v>906</v>
      </c>
      <c r="Z394" s="87" t="str">
        <f>HYPERLINK("https://twitter.com/watchezmenz/status/1280271264125456384")</f>
        <v>https://twitter.com/watchezmenz/status/1280271264125456384</v>
      </c>
      <c r="AA394" s="84"/>
      <c r="AB394" s="84"/>
      <c r="AC394" s="92" t="s">
        <v>1325</v>
      </c>
      <c r="AD394" s="84"/>
      <c r="AE394" s="84" t="b">
        <v>0</v>
      </c>
      <c r="AF394" s="84">
        <v>0</v>
      </c>
      <c r="AG394" s="92" t="s">
        <v>1724</v>
      </c>
      <c r="AH394" s="84" t="b">
        <v>0</v>
      </c>
      <c r="AI394" s="84" t="s">
        <v>1749</v>
      </c>
      <c r="AJ394" s="84"/>
      <c r="AK394" s="92" t="s">
        <v>1724</v>
      </c>
      <c r="AL394" s="84" t="b">
        <v>0</v>
      </c>
      <c r="AM394" s="84">
        <v>1</v>
      </c>
      <c r="AN394" s="92" t="s">
        <v>1324</v>
      </c>
      <c r="AO394" s="84" t="s">
        <v>1773</v>
      </c>
      <c r="AP394" s="84" t="b">
        <v>0</v>
      </c>
      <c r="AQ394" s="92" t="s">
        <v>1324</v>
      </c>
      <c r="AR394" s="84" t="s">
        <v>179</v>
      </c>
      <c r="AS394" s="84">
        <v>0</v>
      </c>
      <c r="AT394" s="84">
        <v>0</v>
      </c>
      <c r="AU394" s="84"/>
      <c r="AV394" s="84"/>
      <c r="AW394" s="84"/>
      <c r="AX394" s="84"/>
      <c r="AY394" s="84"/>
      <c r="AZ394" s="84"/>
      <c r="BA394" s="84"/>
      <c r="BB394" s="84"/>
    </row>
    <row r="395" spans="1:54" x14ac:dyDescent="0.2">
      <c r="A395" s="69" t="s">
        <v>250</v>
      </c>
      <c r="B395" s="69" t="s">
        <v>250</v>
      </c>
      <c r="C395" s="70"/>
      <c r="D395" s="71"/>
      <c r="E395" s="72"/>
      <c r="F395" s="73"/>
      <c r="G395" s="70"/>
      <c r="H395" s="74"/>
      <c r="I395" s="75"/>
      <c r="J395" s="75"/>
      <c r="K395" s="36"/>
      <c r="L395" s="82"/>
      <c r="M395" s="82"/>
      <c r="N395" s="77"/>
      <c r="O395" s="84" t="s">
        <v>179</v>
      </c>
      <c r="P395" s="86">
        <v>44018.94599537037</v>
      </c>
      <c r="Q395" s="84" t="s">
        <v>540</v>
      </c>
      <c r="R395" s="87" t="str">
        <f>HYPERLINK("https://www.instagram.com/p/CCUVo9nDAHN/?igshid=3ngj2baqzt04")</f>
        <v>https://www.instagram.com/p/CCUVo9nDAHN/?igshid=3ngj2baqzt04</v>
      </c>
      <c r="S395" s="84" t="s">
        <v>759</v>
      </c>
      <c r="T395" s="84" t="s">
        <v>794</v>
      </c>
      <c r="U395" s="84"/>
      <c r="V395" s="87" t="str">
        <f>HYPERLINK("http://pbs.twimg.com/profile_images/1042938472154255360/ROg4kX4A_normal.jpg")</f>
        <v>http://pbs.twimg.com/profile_images/1042938472154255360/ROg4kX4A_normal.jpg</v>
      </c>
      <c r="W395" s="86">
        <v>44018.94599537037</v>
      </c>
      <c r="X395" s="90">
        <v>44018</v>
      </c>
      <c r="Y395" s="92" t="s">
        <v>905</v>
      </c>
      <c r="Z395" s="87" t="str">
        <f>HYPERLINK("https://twitter.com/britnoo/status/1280270860352475136")</f>
        <v>https://twitter.com/britnoo/status/1280270860352475136</v>
      </c>
      <c r="AA395" s="84">
        <v>-22.889700000000001</v>
      </c>
      <c r="AB395" s="84">
        <v>-43.119</v>
      </c>
      <c r="AC395" s="92" t="s">
        <v>1324</v>
      </c>
      <c r="AD395" s="84"/>
      <c r="AE395" s="84" t="b">
        <v>0</v>
      </c>
      <c r="AF395" s="84">
        <v>0</v>
      </c>
      <c r="AG395" s="92" t="s">
        <v>1724</v>
      </c>
      <c r="AH395" s="84" t="b">
        <v>0</v>
      </c>
      <c r="AI395" s="84" t="s">
        <v>1749</v>
      </c>
      <c r="AJ395" s="84"/>
      <c r="AK395" s="92" t="s">
        <v>1724</v>
      </c>
      <c r="AL395" s="84" t="b">
        <v>0</v>
      </c>
      <c r="AM395" s="84">
        <v>1</v>
      </c>
      <c r="AN395" s="92" t="s">
        <v>1724</v>
      </c>
      <c r="AO395" s="84" t="s">
        <v>1771</v>
      </c>
      <c r="AP395" s="84" t="b">
        <v>0</v>
      </c>
      <c r="AQ395" s="92" t="s">
        <v>1324</v>
      </c>
      <c r="AR395" s="84" t="s">
        <v>179</v>
      </c>
      <c r="AS395" s="84">
        <v>0</v>
      </c>
      <c r="AT395" s="84">
        <v>0</v>
      </c>
      <c r="AU395" s="84" t="s">
        <v>1785</v>
      </c>
      <c r="AV395" s="84" t="s">
        <v>1790</v>
      </c>
      <c r="AW395" s="84" t="s">
        <v>1793</v>
      </c>
      <c r="AX395" s="84" t="s">
        <v>1796</v>
      </c>
      <c r="AY395" s="84" t="s">
        <v>1801</v>
      </c>
      <c r="AZ395" s="84" t="s">
        <v>1806</v>
      </c>
      <c r="BA395" s="84" t="s">
        <v>1810</v>
      </c>
      <c r="BB395" s="87" t="str">
        <f>HYPERLINK("https://api.twitter.com/1.1/geo/id/59373f0a295160e4.json")</f>
        <v>https://api.twitter.com/1.1/geo/id/59373f0a295160e4.json</v>
      </c>
    </row>
    <row r="396" spans="1:54" x14ac:dyDescent="0.2">
      <c r="A396" s="69" t="s">
        <v>357</v>
      </c>
      <c r="B396" s="69" t="s">
        <v>409</v>
      </c>
      <c r="C396" s="70"/>
      <c r="D396" s="71"/>
      <c r="E396" s="72"/>
      <c r="F396" s="73"/>
      <c r="G396" s="70"/>
      <c r="H396" s="74"/>
      <c r="I396" s="75"/>
      <c r="J396" s="75"/>
      <c r="K396" s="36"/>
      <c r="L396" s="82"/>
      <c r="M396" s="82"/>
      <c r="N396" s="77"/>
      <c r="O396" s="84" t="s">
        <v>500</v>
      </c>
      <c r="P396" s="86">
        <v>44018.927673611113</v>
      </c>
      <c r="Q396" s="84" t="s">
        <v>660</v>
      </c>
      <c r="R396" s="84"/>
      <c r="S396" s="84"/>
      <c r="T396" s="84"/>
      <c r="U396" s="84"/>
      <c r="V396" s="87" t="str">
        <f>HYPERLINK("http://pbs.twimg.com/profile_images/914368413673259009/gmggw-BO_normal.jpg")</f>
        <v>http://pbs.twimg.com/profile_images/914368413673259009/gmggw-BO_normal.jpg</v>
      </c>
      <c r="W396" s="86">
        <v>44018.927673611113</v>
      </c>
      <c r="X396" s="90">
        <v>44018</v>
      </c>
      <c r="Y396" s="92" t="s">
        <v>1068</v>
      </c>
      <c r="Z396" s="87" t="str">
        <f>HYPERLINK("https://twitter.com/magicalthorn/status/1280264221192712192")</f>
        <v>https://twitter.com/magicalthorn/status/1280264221192712192</v>
      </c>
      <c r="AA396" s="84"/>
      <c r="AB396" s="84"/>
      <c r="AC396" s="92" t="s">
        <v>1487</v>
      </c>
      <c r="AD396" s="84"/>
      <c r="AE396" s="84" t="b">
        <v>0</v>
      </c>
      <c r="AF396" s="84">
        <v>0</v>
      </c>
      <c r="AG396" s="92" t="s">
        <v>1724</v>
      </c>
      <c r="AH396" s="84" t="b">
        <v>0</v>
      </c>
      <c r="AI396" s="84" t="s">
        <v>1750</v>
      </c>
      <c r="AJ396" s="84"/>
      <c r="AK396" s="92" t="s">
        <v>1724</v>
      </c>
      <c r="AL396" s="84" t="b">
        <v>0</v>
      </c>
      <c r="AM396" s="84">
        <v>1</v>
      </c>
      <c r="AN396" s="92" t="s">
        <v>1584</v>
      </c>
      <c r="AO396" s="84" t="s">
        <v>1764</v>
      </c>
      <c r="AP396" s="84" t="b">
        <v>0</v>
      </c>
      <c r="AQ396" s="92" t="s">
        <v>1584</v>
      </c>
      <c r="AR396" s="84" t="s">
        <v>179</v>
      </c>
      <c r="AS396" s="84">
        <v>0</v>
      </c>
      <c r="AT396" s="84">
        <v>0</v>
      </c>
      <c r="AU396" s="84"/>
      <c r="AV396" s="84"/>
      <c r="AW396" s="84"/>
      <c r="AX396" s="84"/>
      <c r="AY396" s="84"/>
      <c r="AZ396" s="84"/>
      <c r="BA396" s="84"/>
      <c r="BB396" s="84"/>
    </row>
    <row r="397" spans="1:54" x14ac:dyDescent="0.2">
      <c r="A397" s="69" t="s">
        <v>409</v>
      </c>
      <c r="B397" s="69" t="s">
        <v>409</v>
      </c>
      <c r="C397" s="70"/>
      <c r="D397" s="71"/>
      <c r="E397" s="72"/>
      <c r="F397" s="73"/>
      <c r="G397" s="70"/>
      <c r="H397" s="74"/>
      <c r="I397" s="75"/>
      <c r="J397" s="75"/>
      <c r="K397" s="36"/>
      <c r="L397" s="82"/>
      <c r="M397" s="82"/>
      <c r="N397" s="77"/>
      <c r="O397" s="84" t="s">
        <v>179</v>
      </c>
      <c r="P397" s="86">
        <v>44018.908726851849</v>
      </c>
      <c r="Q397" s="84" t="s">
        <v>541</v>
      </c>
      <c r="R397" s="84"/>
      <c r="S397" s="84"/>
      <c r="T397" s="84" t="s">
        <v>781</v>
      </c>
      <c r="U397" s="84"/>
      <c r="V397" s="87" t="str">
        <f>HYPERLINK("http://pbs.twimg.com/profile_images/1236668333157519361/R8t7DbMO_normal.jpg")</f>
        <v>http://pbs.twimg.com/profile_images/1236668333157519361/R8t7DbMO_normal.jpg</v>
      </c>
      <c r="W397" s="86">
        <v>44018.908726851849</v>
      </c>
      <c r="X397" s="90">
        <v>44018</v>
      </c>
      <c r="Y397" s="92" t="s">
        <v>1164</v>
      </c>
      <c r="Z397" s="87" t="str">
        <f>HYPERLINK("https://twitter.com/sinxsan/status/1280257358686375936")</f>
        <v>https://twitter.com/sinxsan/status/1280257358686375936</v>
      </c>
      <c r="AA397" s="84"/>
      <c r="AB397" s="84"/>
      <c r="AC397" s="92" t="s">
        <v>1585</v>
      </c>
      <c r="AD397" s="92" t="s">
        <v>1584</v>
      </c>
      <c r="AE397" s="84" t="b">
        <v>0</v>
      </c>
      <c r="AF397" s="84">
        <v>3</v>
      </c>
      <c r="AG397" s="92" t="s">
        <v>1740</v>
      </c>
      <c r="AH397" s="84" t="b">
        <v>0</v>
      </c>
      <c r="AI397" s="84" t="s">
        <v>1750</v>
      </c>
      <c r="AJ397" s="84"/>
      <c r="AK397" s="92" t="s">
        <v>1724</v>
      </c>
      <c r="AL397" s="84" t="b">
        <v>0</v>
      </c>
      <c r="AM397" s="84">
        <v>2</v>
      </c>
      <c r="AN397" s="92" t="s">
        <v>1724</v>
      </c>
      <c r="AO397" s="84" t="s">
        <v>1763</v>
      </c>
      <c r="AP397" s="84" t="b">
        <v>0</v>
      </c>
      <c r="AQ397" s="92" t="s">
        <v>1584</v>
      </c>
      <c r="AR397" s="84" t="s">
        <v>179</v>
      </c>
      <c r="AS397" s="84">
        <v>0</v>
      </c>
      <c r="AT397" s="84">
        <v>0</v>
      </c>
      <c r="AU397" s="84"/>
      <c r="AV397" s="84"/>
      <c r="AW397" s="84"/>
      <c r="AX397" s="84"/>
      <c r="AY397" s="84"/>
      <c r="AZ397" s="84"/>
      <c r="BA397" s="84"/>
      <c r="BB397" s="84"/>
    </row>
    <row r="398" spans="1:54" x14ac:dyDescent="0.2">
      <c r="A398" s="69" t="s">
        <v>249</v>
      </c>
      <c r="B398" s="69" t="s">
        <v>249</v>
      </c>
      <c r="C398" s="70"/>
      <c r="D398" s="71"/>
      <c r="E398" s="72"/>
      <c r="F398" s="73"/>
      <c r="G398" s="70"/>
      <c r="H398" s="74"/>
      <c r="I398" s="75"/>
      <c r="J398" s="75"/>
      <c r="K398" s="36"/>
      <c r="L398" s="82"/>
      <c r="M398" s="82"/>
      <c r="N398" s="77"/>
      <c r="O398" s="84" t="s">
        <v>179</v>
      </c>
      <c r="P398" s="86">
        <v>44018.896354166667</v>
      </c>
      <c r="Q398" s="84" t="s">
        <v>539</v>
      </c>
      <c r="R398" s="84"/>
      <c r="S398" s="84"/>
      <c r="T398" s="84" t="s">
        <v>781</v>
      </c>
      <c r="U398" s="87" t="str">
        <f>HYPERLINK("https://pbs.twimg.com/media/EcRfMktUwAEGpYV.jpg")</f>
        <v>https://pbs.twimg.com/media/EcRfMktUwAEGpYV.jpg</v>
      </c>
      <c r="V398" s="87" t="str">
        <f>HYPERLINK("https://pbs.twimg.com/media/EcRfMktUwAEGpYV.jpg")</f>
        <v>https://pbs.twimg.com/media/EcRfMktUwAEGpYV.jpg</v>
      </c>
      <c r="W398" s="86">
        <v>44018.896354166667</v>
      </c>
      <c r="X398" s="90">
        <v>44018</v>
      </c>
      <c r="Y398" s="92" t="s">
        <v>904</v>
      </c>
      <c r="Z398" s="87" t="str">
        <f>HYPERLINK("https://twitter.com/yooousango/status/1280252872660156420")</f>
        <v>https://twitter.com/yooousango/status/1280252872660156420</v>
      </c>
      <c r="AA398" s="84"/>
      <c r="AB398" s="84"/>
      <c r="AC398" s="92" t="s">
        <v>1323</v>
      </c>
      <c r="AD398" s="84"/>
      <c r="AE398" s="84" t="b">
        <v>0</v>
      </c>
      <c r="AF398" s="84">
        <v>2</v>
      </c>
      <c r="AG398" s="92" t="s">
        <v>1724</v>
      </c>
      <c r="AH398" s="84" t="b">
        <v>0</v>
      </c>
      <c r="AI398" s="84" t="s">
        <v>1750</v>
      </c>
      <c r="AJ398" s="84"/>
      <c r="AK398" s="92" t="s">
        <v>1724</v>
      </c>
      <c r="AL398" s="84" t="b">
        <v>0</v>
      </c>
      <c r="AM398" s="84">
        <v>0</v>
      </c>
      <c r="AN398" s="92" t="s">
        <v>1724</v>
      </c>
      <c r="AO398" s="84" t="s">
        <v>1763</v>
      </c>
      <c r="AP398" s="84" t="b">
        <v>0</v>
      </c>
      <c r="AQ398" s="92" t="s">
        <v>1323</v>
      </c>
      <c r="AR398" s="84" t="s">
        <v>179</v>
      </c>
      <c r="AS398" s="84">
        <v>0</v>
      </c>
      <c r="AT398" s="84">
        <v>0</v>
      </c>
      <c r="AU398" s="84"/>
      <c r="AV398" s="84"/>
      <c r="AW398" s="84"/>
      <c r="AX398" s="84"/>
      <c r="AY398" s="84"/>
      <c r="AZ398" s="84"/>
      <c r="BA398" s="84"/>
      <c r="BB398" s="84"/>
    </row>
    <row r="399" spans="1:54" x14ac:dyDescent="0.2">
      <c r="A399" s="69" t="s">
        <v>312</v>
      </c>
      <c r="B399" s="69" t="s">
        <v>312</v>
      </c>
      <c r="C399" s="70"/>
      <c r="D399" s="71"/>
      <c r="E399" s="72"/>
      <c r="F399" s="73"/>
      <c r="G399" s="70"/>
      <c r="H399" s="74"/>
      <c r="I399" s="75"/>
      <c r="J399" s="75"/>
      <c r="K399" s="36"/>
      <c r="L399" s="82"/>
      <c r="M399" s="82"/>
      <c r="N399" s="77"/>
      <c r="O399" s="84" t="s">
        <v>179</v>
      </c>
      <c r="P399" s="86">
        <v>44018.861817129633</v>
      </c>
      <c r="Q399" s="84" t="s">
        <v>552</v>
      </c>
      <c r="R399" s="84"/>
      <c r="S399" s="84"/>
      <c r="T399" s="84" t="s">
        <v>818</v>
      </c>
      <c r="U399" s="87" t="str">
        <f>HYPERLINK("https://pbs.twimg.com/ext_tw_video_thumb/1280240315526414339/pu/img/LI6Q5qBWC9L32LZz.jpg")</f>
        <v>https://pbs.twimg.com/ext_tw_video_thumb/1280240315526414339/pu/img/LI6Q5qBWC9L32LZz.jpg</v>
      </c>
      <c r="V399" s="87" t="str">
        <f>HYPERLINK("https://pbs.twimg.com/ext_tw_video_thumb/1280240315526414339/pu/img/LI6Q5qBWC9L32LZz.jpg")</f>
        <v>https://pbs.twimg.com/ext_tw_video_thumb/1280240315526414339/pu/img/LI6Q5qBWC9L32LZz.jpg</v>
      </c>
      <c r="W399" s="86">
        <v>44018.861817129633</v>
      </c>
      <c r="X399" s="90">
        <v>44018</v>
      </c>
      <c r="Y399" s="92" t="s">
        <v>980</v>
      </c>
      <c r="Z399" s="87" t="str">
        <f>HYPERLINK("https://twitter.com/beesstandon/status/1280240358836895745")</f>
        <v>https://twitter.com/beesstandon/status/1280240358836895745</v>
      </c>
      <c r="AA399" s="84"/>
      <c r="AB399" s="84"/>
      <c r="AC399" s="92" t="s">
        <v>1399</v>
      </c>
      <c r="AD399" s="84"/>
      <c r="AE399" s="84" t="b">
        <v>0</v>
      </c>
      <c r="AF399" s="84">
        <v>10</v>
      </c>
      <c r="AG399" s="92" t="s">
        <v>1724</v>
      </c>
      <c r="AH399" s="84" t="b">
        <v>0</v>
      </c>
      <c r="AI399" s="84" t="s">
        <v>1751</v>
      </c>
      <c r="AJ399" s="84"/>
      <c r="AK399" s="92" t="s">
        <v>1724</v>
      </c>
      <c r="AL399" s="84" t="b">
        <v>0</v>
      </c>
      <c r="AM399" s="84">
        <v>3</v>
      </c>
      <c r="AN399" s="92" t="s">
        <v>1724</v>
      </c>
      <c r="AO399" s="84" t="s">
        <v>1768</v>
      </c>
      <c r="AP399" s="84" t="b">
        <v>0</v>
      </c>
      <c r="AQ399" s="92" t="s">
        <v>1399</v>
      </c>
      <c r="AR399" s="84" t="s">
        <v>179</v>
      </c>
      <c r="AS399" s="84">
        <v>0</v>
      </c>
      <c r="AT399" s="84">
        <v>0</v>
      </c>
      <c r="AU399" s="84"/>
      <c r="AV399" s="84"/>
      <c r="AW399" s="84"/>
      <c r="AX399" s="84"/>
      <c r="AY399" s="84"/>
      <c r="AZ399" s="84"/>
      <c r="BA399" s="84"/>
      <c r="BB399" s="84"/>
    </row>
    <row r="400" spans="1:54" x14ac:dyDescent="0.2">
      <c r="A400" s="69" t="s">
        <v>248</v>
      </c>
      <c r="B400" s="69" t="s">
        <v>467</v>
      </c>
      <c r="C400" s="70"/>
      <c r="D400" s="71"/>
      <c r="E400" s="72"/>
      <c r="F400" s="73"/>
      <c r="G400" s="70"/>
      <c r="H400" s="74"/>
      <c r="I400" s="75"/>
      <c r="J400" s="75"/>
      <c r="K400" s="36"/>
      <c r="L400" s="82"/>
      <c r="M400" s="82"/>
      <c r="N400" s="77"/>
      <c r="O400" s="84" t="s">
        <v>501</v>
      </c>
      <c r="P400" s="86">
        <v>44018.791759259257</v>
      </c>
      <c r="Q400" s="84" t="s">
        <v>538</v>
      </c>
      <c r="R400" s="87" t="str">
        <f>HYPERLINK("https://www.squadhelp.com/name/Wayfarious/rm/3576514")</f>
        <v>https://www.squadhelp.com/name/Wayfarious/rm/3576514</v>
      </c>
      <c r="S400" s="84" t="s">
        <v>762</v>
      </c>
      <c r="T400" s="84" t="s">
        <v>793</v>
      </c>
      <c r="U400" s="84"/>
      <c r="V400" s="87" t="str">
        <f>HYPERLINK("http://pbs.twimg.com/profile_images/1230594922497093632/mCVDTPRl_normal.jpg")</f>
        <v>http://pbs.twimg.com/profile_images/1230594922497093632/mCVDTPRl_normal.jpg</v>
      </c>
      <c r="W400" s="86">
        <v>44018.791759259257</v>
      </c>
      <c r="X400" s="90">
        <v>44018</v>
      </c>
      <c r="Y400" s="92" t="s">
        <v>903</v>
      </c>
      <c r="Z400" s="87" t="str">
        <f>HYPERLINK("https://twitter.com/brandulinks/status/1280214970060476416")</f>
        <v>https://twitter.com/brandulinks/status/1280214970060476416</v>
      </c>
      <c r="AA400" s="84"/>
      <c r="AB400" s="84"/>
      <c r="AC400" s="92" t="s">
        <v>1322</v>
      </c>
      <c r="AD400" s="84"/>
      <c r="AE400" s="84" t="b">
        <v>0</v>
      </c>
      <c r="AF400" s="84">
        <v>0</v>
      </c>
      <c r="AG400" s="92" t="s">
        <v>1724</v>
      </c>
      <c r="AH400" s="84" t="b">
        <v>0</v>
      </c>
      <c r="AI400" s="84" t="s">
        <v>1751</v>
      </c>
      <c r="AJ400" s="84"/>
      <c r="AK400" s="92" t="s">
        <v>1724</v>
      </c>
      <c r="AL400" s="84" t="b">
        <v>0</v>
      </c>
      <c r="AM400" s="84">
        <v>0</v>
      </c>
      <c r="AN400" s="92" t="s">
        <v>1724</v>
      </c>
      <c r="AO400" s="84" t="s">
        <v>1772</v>
      </c>
      <c r="AP400" s="84" t="b">
        <v>0</v>
      </c>
      <c r="AQ400" s="92" t="s">
        <v>1322</v>
      </c>
      <c r="AR400" s="84" t="s">
        <v>179</v>
      </c>
      <c r="AS400" s="84">
        <v>0</v>
      </c>
      <c r="AT400" s="84">
        <v>0</v>
      </c>
      <c r="AU400" s="84"/>
      <c r="AV400" s="84"/>
      <c r="AW400" s="84"/>
      <c r="AX400" s="84"/>
      <c r="AY400" s="84"/>
      <c r="AZ400" s="84"/>
      <c r="BA400" s="84"/>
      <c r="BB400" s="84"/>
    </row>
    <row r="401" spans="1:54" x14ac:dyDescent="0.2">
      <c r="A401" s="69" t="s">
        <v>247</v>
      </c>
      <c r="B401" s="69" t="s">
        <v>247</v>
      </c>
      <c r="C401" s="70"/>
      <c r="D401" s="71"/>
      <c r="E401" s="72"/>
      <c r="F401" s="73"/>
      <c r="G401" s="70"/>
      <c r="H401" s="74"/>
      <c r="I401" s="75"/>
      <c r="J401" s="75"/>
      <c r="K401" s="36"/>
      <c r="L401" s="82"/>
      <c r="M401" s="82"/>
      <c r="N401" s="77"/>
      <c r="O401" s="84" t="s">
        <v>179</v>
      </c>
      <c r="P401" s="86">
        <v>44018.761192129627</v>
      </c>
      <c r="Q401" s="84" t="s">
        <v>537</v>
      </c>
      <c r="R401" s="84"/>
      <c r="S401" s="84"/>
      <c r="T401" s="84" t="s">
        <v>788</v>
      </c>
      <c r="U401" s="87" t="str">
        <f>HYPERLINK("https://pbs.twimg.com/media/EcQypaTXkAAXt88.jpg")</f>
        <v>https://pbs.twimg.com/media/EcQypaTXkAAXt88.jpg</v>
      </c>
      <c r="V401" s="87" t="str">
        <f>HYPERLINK("https://pbs.twimg.com/media/EcQypaTXkAAXt88.jpg")</f>
        <v>https://pbs.twimg.com/media/EcQypaTXkAAXt88.jpg</v>
      </c>
      <c r="W401" s="86">
        <v>44018.761192129627</v>
      </c>
      <c r="X401" s="90">
        <v>44018</v>
      </c>
      <c r="Y401" s="92" t="s">
        <v>902</v>
      </c>
      <c r="Z401" s="87" t="str">
        <f>HYPERLINK("https://twitter.com/jc_salazar/status/1280203892261863424")</f>
        <v>https://twitter.com/jc_salazar/status/1280203892261863424</v>
      </c>
      <c r="AA401" s="84"/>
      <c r="AB401" s="84"/>
      <c r="AC401" s="92" t="s">
        <v>1321</v>
      </c>
      <c r="AD401" s="84"/>
      <c r="AE401" s="84" t="b">
        <v>0</v>
      </c>
      <c r="AF401" s="84">
        <v>3</v>
      </c>
      <c r="AG401" s="92" t="s">
        <v>1724</v>
      </c>
      <c r="AH401" s="84" t="b">
        <v>0</v>
      </c>
      <c r="AI401" s="84" t="s">
        <v>1754</v>
      </c>
      <c r="AJ401" s="84"/>
      <c r="AK401" s="92" t="s">
        <v>1724</v>
      </c>
      <c r="AL401" s="84" t="b">
        <v>0</v>
      </c>
      <c r="AM401" s="84">
        <v>0</v>
      </c>
      <c r="AN401" s="92" t="s">
        <v>1724</v>
      </c>
      <c r="AO401" s="84" t="s">
        <v>1764</v>
      </c>
      <c r="AP401" s="84" t="b">
        <v>0</v>
      </c>
      <c r="AQ401" s="92" t="s">
        <v>1321</v>
      </c>
      <c r="AR401" s="84" t="s">
        <v>179</v>
      </c>
      <c r="AS401" s="84">
        <v>0</v>
      </c>
      <c r="AT401" s="84">
        <v>0</v>
      </c>
      <c r="AU401" s="84"/>
      <c r="AV401" s="84"/>
      <c r="AW401" s="84"/>
      <c r="AX401" s="84"/>
      <c r="AY401" s="84"/>
      <c r="AZ401" s="84"/>
      <c r="BA401" s="84"/>
      <c r="BB401" s="84"/>
    </row>
    <row r="402" spans="1:54" x14ac:dyDescent="0.2">
      <c r="A402" s="69" t="s">
        <v>439</v>
      </c>
      <c r="B402" s="69" t="s">
        <v>439</v>
      </c>
      <c r="C402" s="70"/>
      <c r="D402" s="71"/>
      <c r="E402" s="72"/>
      <c r="F402" s="73"/>
      <c r="G402" s="70"/>
      <c r="H402" s="74"/>
      <c r="I402" s="75"/>
      <c r="J402" s="75"/>
      <c r="K402" s="36"/>
      <c r="L402" s="82"/>
      <c r="M402" s="82"/>
      <c r="N402" s="77"/>
      <c r="O402" s="84" t="s">
        <v>179</v>
      </c>
      <c r="P402" s="86">
        <v>44018.689918981479</v>
      </c>
      <c r="Q402" s="84" t="s">
        <v>729</v>
      </c>
      <c r="R402" s="84"/>
      <c r="S402" s="84"/>
      <c r="T402" s="84" t="s">
        <v>781</v>
      </c>
      <c r="U402" s="87" t="str">
        <f>HYPERLINK("https://pbs.twimg.com/media/EcQbKXAUwAYKzU9.jpg")</f>
        <v>https://pbs.twimg.com/media/EcQbKXAUwAYKzU9.jpg</v>
      </c>
      <c r="V402" s="87" t="str">
        <f>HYPERLINK("https://pbs.twimg.com/media/EcQbKXAUwAYKzU9.jpg")</f>
        <v>https://pbs.twimg.com/media/EcQbKXAUwAYKzU9.jpg</v>
      </c>
      <c r="W402" s="86">
        <v>44018.689918981479</v>
      </c>
      <c r="X402" s="90">
        <v>44018</v>
      </c>
      <c r="Y402" s="92" t="s">
        <v>1219</v>
      </c>
      <c r="Z402" s="87" t="str">
        <f>HYPERLINK("https://twitter.com/pokemon_fumi/status/1280178062370324489")</f>
        <v>https://twitter.com/pokemon_fumi/status/1280178062370324489</v>
      </c>
      <c r="AA402" s="84"/>
      <c r="AB402" s="84"/>
      <c r="AC402" s="92" t="s">
        <v>1640</v>
      </c>
      <c r="AD402" s="84"/>
      <c r="AE402" s="84" t="b">
        <v>0</v>
      </c>
      <c r="AF402" s="84">
        <v>1</v>
      </c>
      <c r="AG402" s="92" t="s">
        <v>1724</v>
      </c>
      <c r="AH402" s="84" t="b">
        <v>0</v>
      </c>
      <c r="AI402" s="84" t="s">
        <v>1750</v>
      </c>
      <c r="AJ402" s="84"/>
      <c r="AK402" s="92" t="s">
        <v>1724</v>
      </c>
      <c r="AL402" s="84" t="b">
        <v>0</v>
      </c>
      <c r="AM402" s="84">
        <v>0</v>
      </c>
      <c r="AN402" s="92" t="s">
        <v>1724</v>
      </c>
      <c r="AO402" s="84" t="s">
        <v>1764</v>
      </c>
      <c r="AP402" s="84" t="b">
        <v>0</v>
      </c>
      <c r="AQ402" s="92" t="s">
        <v>1640</v>
      </c>
      <c r="AR402" s="84" t="s">
        <v>179</v>
      </c>
      <c r="AS402" s="84">
        <v>0</v>
      </c>
      <c r="AT402" s="84">
        <v>0</v>
      </c>
      <c r="AU402" s="84"/>
      <c r="AV402" s="84"/>
      <c r="AW402" s="84"/>
      <c r="AX402" s="84"/>
      <c r="AY402" s="84"/>
      <c r="AZ402" s="84"/>
      <c r="BA402" s="84"/>
      <c r="BB402" s="84"/>
    </row>
    <row r="403" spans="1:54" x14ac:dyDescent="0.2">
      <c r="A403" s="69" t="s">
        <v>246</v>
      </c>
      <c r="B403" s="69" t="s">
        <v>246</v>
      </c>
      <c r="C403" s="70"/>
      <c r="D403" s="71"/>
      <c r="E403" s="72"/>
      <c r="F403" s="73"/>
      <c r="G403" s="70"/>
      <c r="H403" s="74"/>
      <c r="I403" s="75"/>
      <c r="J403" s="75"/>
      <c r="K403" s="36"/>
      <c r="L403" s="82"/>
      <c r="M403" s="82"/>
      <c r="N403" s="77"/>
      <c r="O403" s="84" t="s">
        <v>179</v>
      </c>
      <c r="P403" s="86">
        <v>44018.668391203704</v>
      </c>
      <c r="Q403" s="84" t="s">
        <v>536</v>
      </c>
      <c r="R403" s="84"/>
      <c r="S403" s="84"/>
      <c r="T403" s="84" t="s">
        <v>781</v>
      </c>
      <c r="U403" s="87" t="str">
        <f>HYPERLINK("https://pbs.twimg.com/media/EcQQOC8UwAAQahR.jpg")</f>
        <v>https://pbs.twimg.com/media/EcQQOC8UwAAQahR.jpg</v>
      </c>
      <c r="V403" s="87" t="str">
        <f>HYPERLINK("https://pbs.twimg.com/media/EcQQOC8UwAAQahR.jpg")</f>
        <v>https://pbs.twimg.com/media/EcQQOC8UwAAQahR.jpg</v>
      </c>
      <c r="W403" s="86">
        <v>44018.668391203704</v>
      </c>
      <c r="X403" s="90">
        <v>44018</v>
      </c>
      <c r="Y403" s="92" t="s">
        <v>901</v>
      </c>
      <c r="Z403" s="87" t="str">
        <f>HYPERLINK("https://twitter.com/kokyona/status/1280170263431180288")</f>
        <v>https://twitter.com/kokyona/status/1280170263431180288</v>
      </c>
      <c r="AA403" s="84"/>
      <c r="AB403" s="84"/>
      <c r="AC403" s="92" t="s">
        <v>1320</v>
      </c>
      <c r="AD403" s="84"/>
      <c r="AE403" s="84" t="b">
        <v>0</v>
      </c>
      <c r="AF403" s="84">
        <v>0</v>
      </c>
      <c r="AG403" s="92" t="s">
        <v>1724</v>
      </c>
      <c r="AH403" s="84" t="b">
        <v>0</v>
      </c>
      <c r="AI403" s="84" t="s">
        <v>1750</v>
      </c>
      <c r="AJ403" s="84"/>
      <c r="AK403" s="92" t="s">
        <v>1724</v>
      </c>
      <c r="AL403" s="84" t="b">
        <v>0</v>
      </c>
      <c r="AM403" s="84">
        <v>0</v>
      </c>
      <c r="AN403" s="92" t="s">
        <v>1724</v>
      </c>
      <c r="AO403" s="84" t="s">
        <v>1766</v>
      </c>
      <c r="AP403" s="84" t="b">
        <v>0</v>
      </c>
      <c r="AQ403" s="92" t="s">
        <v>1320</v>
      </c>
      <c r="AR403" s="84" t="s">
        <v>179</v>
      </c>
      <c r="AS403" s="84">
        <v>0</v>
      </c>
      <c r="AT403" s="84">
        <v>0</v>
      </c>
      <c r="AU403" s="84"/>
      <c r="AV403" s="84"/>
      <c r="AW403" s="84"/>
      <c r="AX403" s="84"/>
      <c r="AY403" s="84"/>
      <c r="AZ403" s="84"/>
      <c r="BA403" s="84"/>
      <c r="BB403" s="84"/>
    </row>
    <row r="404" spans="1:54" x14ac:dyDescent="0.2">
      <c r="A404" s="69" t="s">
        <v>410</v>
      </c>
      <c r="B404" s="69" t="s">
        <v>410</v>
      </c>
      <c r="C404" s="70"/>
      <c r="D404" s="71"/>
      <c r="E404" s="72"/>
      <c r="F404" s="73"/>
      <c r="G404" s="70"/>
      <c r="H404" s="74"/>
      <c r="I404" s="75"/>
      <c r="J404" s="75"/>
      <c r="K404" s="36"/>
      <c r="L404" s="82"/>
      <c r="M404" s="82"/>
      <c r="N404" s="77"/>
      <c r="O404" s="84" t="s">
        <v>179</v>
      </c>
      <c r="P404" s="86">
        <v>44018.572858796295</v>
      </c>
      <c r="Q404" s="84" t="s">
        <v>711</v>
      </c>
      <c r="R404" s="84"/>
      <c r="S404" s="84"/>
      <c r="T404" s="84" t="s">
        <v>781</v>
      </c>
      <c r="U404" s="87" t="str">
        <f>HYPERLINK("https://pbs.twimg.com/media/EcP0kwgVcAAe56i.jpg")</f>
        <v>https://pbs.twimg.com/media/EcP0kwgVcAAe56i.jpg</v>
      </c>
      <c r="V404" s="87" t="str">
        <f>HYPERLINK("https://pbs.twimg.com/media/EcP0kwgVcAAe56i.jpg")</f>
        <v>https://pbs.twimg.com/media/EcP0kwgVcAAe56i.jpg</v>
      </c>
      <c r="W404" s="86">
        <v>44018.572858796295</v>
      </c>
      <c r="X404" s="90">
        <v>44018</v>
      </c>
      <c r="Y404" s="92" t="s">
        <v>1180</v>
      </c>
      <c r="Z404" s="87" t="str">
        <f>HYPERLINK("https://twitter.com/momo99momo1/status/1280135643335516160")</f>
        <v>https://twitter.com/momo99momo1/status/1280135643335516160</v>
      </c>
      <c r="AA404" s="84"/>
      <c r="AB404" s="84"/>
      <c r="AC404" s="92" t="s">
        <v>1601</v>
      </c>
      <c r="AD404" s="84"/>
      <c r="AE404" s="84" t="b">
        <v>0</v>
      </c>
      <c r="AF404" s="84">
        <v>0</v>
      </c>
      <c r="AG404" s="92" t="s">
        <v>1724</v>
      </c>
      <c r="AH404" s="84" t="b">
        <v>0</v>
      </c>
      <c r="AI404" s="84" t="s">
        <v>1750</v>
      </c>
      <c r="AJ404" s="84"/>
      <c r="AK404" s="92" t="s">
        <v>1724</v>
      </c>
      <c r="AL404" s="84" t="b">
        <v>0</v>
      </c>
      <c r="AM404" s="84">
        <v>0</v>
      </c>
      <c r="AN404" s="92" t="s">
        <v>1724</v>
      </c>
      <c r="AO404" s="84" t="s">
        <v>1764</v>
      </c>
      <c r="AP404" s="84" t="b">
        <v>0</v>
      </c>
      <c r="AQ404" s="92" t="s">
        <v>1601</v>
      </c>
      <c r="AR404" s="84" t="s">
        <v>179</v>
      </c>
      <c r="AS404" s="84">
        <v>0</v>
      </c>
      <c r="AT404" s="84">
        <v>0</v>
      </c>
      <c r="AU404" s="84"/>
      <c r="AV404" s="84"/>
      <c r="AW404" s="84"/>
      <c r="AX404" s="84"/>
      <c r="AY404" s="84"/>
      <c r="AZ404" s="84"/>
      <c r="BA404" s="84"/>
      <c r="BB404" s="84"/>
    </row>
    <row r="405" spans="1:54" x14ac:dyDescent="0.2">
      <c r="A405" s="69" t="s">
        <v>290</v>
      </c>
      <c r="B405" s="69" t="s">
        <v>439</v>
      </c>
      <c r="C405" s="70"/>
      <c r="D405" s="71"/>
      <c r="E405" s="72"/>
      <c r="F405" s="73"/>
      <c r="G405" s="70"/>
      <c r="H405" s="74"/>
      <c r="I405" s="75"/>
      <c r="J405" s="75"/>
      <c r="K405" s="36"/>
      <c r="L405" s="82"/>
      <c r="M405" s="82"/>
      <c r="N405" s="77"/>
      <c r="O405" s="84" t="s">
        <v>500</v>
      </c>
      <c r="P405" s="86">
        <v>44018.557824074072</v>
      </c>
      <c r="Q405" s="84" t="s">
        <v>572</v>
      </c>
      <c r="R405" s="84"/>
      <c r="S405" s="84"/>
      <c r="T405" s="84" t="s">
        <v>781</v>
      </c>
      <c r="U405" s="87" t="str">
        <f t="shared" ref="U405:V407" si="8">HYPERLINK("https://pbs.twimg.com/media/EcPcmTEU4AARNsD.jpg")</f>
        <v>https://pbs.twimg.com/media/EcPcmTEU4AARNsD.jpg</v>
      </c>
      <c r="V405" s="87" t="str">
        <f t="shared" si="8"/>
        <v>https://pbs.twimg.com/media/EcPcmTEU4AARNsD.jpg</v>
      </c>
      <c r="W405" s="86">
        <v>44018.557824074072</v>
      </c>
      <c r="X405" s="90">
        <v>44018</v>
      </c>
      <c r="Y405" s="92" t="s">
        <v>954</v>
      </c>
      <c r="Z405" s="87" t="str">
        <f>HYPERLINK("https://twitter.com/gnk_poke5/status/1280130191877160960")</f>
        <v>https://twitter.com/gnk_poke5/status/1280130191877160960</v>
      </c>
      <c r="AA405" s="84"/>
      <c r="AB405" s="84"/>
      <c r="AC405" s="92" t="s">
        <v>1373</v>
      </c>
      <c r="AD405" s="84"/>
      <c r="AE405" s="84" t="b">
        <v>0</v>
      </c>
      <c r="AF405" s="84">
        <v>0</v>
      </c>
      <c r="AG405" s="92" t="s">
        <v>1724</v>
      </c>
      <c r="AH405" s="84" t="b">
        <v>0</v>
      </c>
      <c r="AI405" s="84" t="s">
        <v>1750</v>
      </c>
      <c r="AJ405" s="84"/>
      <c r="AK405" s="92" t="s">
        <v>1724</v>
      </c>
      <c r="AL405" s="84" t="b">
        <v>0</v>
      </c>
      <c r="AM405" s="84">
        <v>2</v>
      </c>
      <c r="AN405" s="92" t="s">
        <v>1639</v>
      </c>
      <c r="AO405" s="84" t="s">
        <v>1775</v>
      </c>
      <c r="AP405" s="84" t="b">
        <v>0</v>
      </c>
      <c r="AQ405" s="92" t="s">
        <v>1639</v>
      </c>
      <c r="AR405" s="84" t="s">
        <v>179</v>
      </c>
      <c r="AS405" s="84">
        <v>0</v>
      </c>
      <c r="AT405" s="84">
        <v>0</v>
      </c>
      <c r="AU405" s="84"/>
      <c r="AV405" s="84"/>
      <c r="AW405" s="84"/>
      <c r="AX405" s="84"/>
      <c r="AY405" s="84"/>
      <c r="AZ405" s="84"/>
      <c r="BA405" s="84"/>
      <c r="BB405" s="84"/>
    </row>
    <row r="406" spans="1:54" x14ac:dyDescent="0.2">
      <c r="A406" s="69" t="s">
        <v>436</v>
      </c>
      <c r="B406" s="69" t="s">
        <v>439</v>
      </c>
      <c r="C406" s="70"/>
      <c r="D406" s="71"/>
      <c r="E406" s="72"/>
      <c r="F406" s="73"/>
      <c r="G406" s="70"/>
      <c r="H406" s="74"/>
      <c r="I406" s="75"/>
      <c r="J406" s="75"/>
      <c r="K406" s="36"/>
      <c r="L406" s="82"/>
      <c r="M406" s="82"/>
      <c r="N406" s="77"/>
      <c r="O406" s="84" t="s">
        <v>500</v>
      </c>
      <c r="P406" s="86">
        <v>44018.510636574072</v>
      </c>
      <c r="Q406" s="84" t="s">
        <v>572</v>
      </c>
      <c r="R406" s="84"/>
      <c r="S406" s="84"/>
      <c r="T406" s="84" t="s">
        <v>781</v>
      </c>
      <c r="U406" s="87" t="str">
        <f t="shared" si="8"/>
        <v>https://pbs.twimg.com/media/EcPcmTEU4AARNsD.jpg</v>
      </c>
      <c r="V406" s="87" t="str">
        <f t="shared" si="8"/>
        <v>https://pbs.twimg.com/media/EcPcmTEU4AARNsD.jpg</v>
      </c>
      <c r="W406" s="86">
        <v>44018.510636574072</v>
      </c>
      <c r="X406" s="90">
        <v>44018</v>
      </c>
      <c r="Y406" s="92" t="s">
        <v>1223</v>
      </c>
      <c r="Z406" s="87" t="str">
        <f>HYPERLINK("https://twitter.com/waiwai5321/status/1280113093293400066")</f>
        <v>https://twitter.com/waiwai5321/status/1280113093293400066</v>
      </c>
      <c r="AA406" s="84"/>
      <c r="AB406" s="84"/>
      <c r="AC406" s="92" t="s">
        <v>1644</v>
      </c>
      <c r="AD406" s="84"/>
      <c r="AE406" s="84" t="b">
        <v>0</v>
      </c>
      <c r="AF406" s="84">
        <v>0</v>
      </c>
      <c r="AG406" s="92" t="s">
        <v>1724</v>
      </c>
      <c r="AH406" s="84" t="b">
        <v>0</v>
      </c>
      <c r="AI406" s="84" t="s">
        <v>1750</v>
      </c>
      <c r="AJ406" s="84"/>
      <c r="AK406" s="92" t="s">
        <v>1724</v>
      </c>
      <c r="AL406" s="84" t="b">
        <v>0</v>
      </c>
      <c r="AM406" s="84">
        <v>2</v>
      </c>
      <c r="AN406" s="92" t="s">
        <v>1639</v>
      </c>
      <c r="AO406" s="84" t="s">
        <v>1763</v>
      </c>
      <c r="AP406" s="84" t="b">
        <v>0</v>
      </c>
      <c r="AQ406" s="92" t="s">
        <v>1639</v>
      </c>
      <c r="AR406" s="84" t="s">
        <v>179</v>
      </c>
      <c r="AS406" s="84">
        <v>0</v>
      </c>
      <c r="AT406" s="84">
        <v>0</v>
      </c>
      <c r="AU406" s="84"/>
      <c r="AV406" s="84"/>
      <c r="AW406" s="84"/>
      <c r="AX406" s="84"/>
      <c r="AY406" s="84"/>
      <c r="AZ406" s="84"/>
      <c r="BA406" s="84"/>
      <c r="BB406" s="84"/>
    </row>
    <row r="407" spans="1:54" x14ac:dyDescent="0.2">
      <c r="A407" s="69" t="s">
        <v>439</v>
      </c>
      <c r="B407" s="69" t="s">
        <v>439</v>
      </c>
      <c r="C407" s="70"/>
      <c r="D407" s="71"/>
      <c r="E407" s="72"/>
      <c r="F407" s="73"/>
      <c r="G407" s="70"/>
      <c r="H407" s="74"/>
      <c r="I407" s="75"/>
      <c r="J407" s="75"/>
      <c r="K407" s="36"/>
      <c r="L407" s="82"/>
      <c r="M407" s="82"/>
      <c r="N407" s="77"/>
      <c r="O407" s="84" t="s">
        <v>179</v>
      </c>
      <c r="P407" s="86">
        <v>44018.500138888892</v>
      </c>
      <c r="Q407" s="84" t="s">
        <v>572</v>
      </c>
      <c r="R407" s="84"/>
      <c r="S407" s="84"/>
      <c r="T407" s="84" t="s">
        <v>781</v>
      </c>
      <c r="U407" s="87" t="str">
        <f t="shared" si="8"/>
        <v>https://pbs.twimg.com/media/EcPcmTEU4AARNsD.jpg</v>
      </c>
      <c r="V407" s="87" t="str">
        <f t="shared" si="8"/>
        <v>https://pbs.twimg.com/media/EcPcmTEU4AARNsD.jpg</v>
      </c>
      <c r="W407" s="86">
        <v>44018.500138888892</v>
      </c>
      <c r="X407" s="90">
        <v>44018</v>
      </c>
      <c r="Y407" s="92" t="s">
        <v>1218</v>
      </c>
      <c r="Z407" s="87" t="str">
        <f>HYPERLINK("https://twitter.com/pokemon_fumi/status/1280109287340077059")</f>
        <v>https://twitter.com/pokemon_fumi/status/1280109287340077059</v>
      </c>
      <c r="AA407" s="84"/>
      <c r="AB407" s="84"/>
      <c r="AC407" s="92" t="s">
        <v>1639</v>
      </c>
      <c r="AD407" s="84"/>
      <c r="AE407" s="84" t="b">
        <v>0</v>
      </c>
      <c r="AF407" s="84">
        <v>1</v>
      </c>
      <c r="AG407" s="92" t="s">
        <v>1724</v>
      </c>
      <c r="AH407" s="84" t="b">
        <v>0</v>
      </c>
      <c r="AI407" s="84" t="s">
        <v>1750</v>
      </c>
      <c r="AJ407" s="84"/>
      <c r="AK407" s="92" t="s">
        <v>1724</v>
      </c>
      <c r="AL407" s="84" t="b">
        <v>0</v>
      </c>
      <c r="AM407" s="84">
        <v>2</v>
      </c>
      <c r="AN407" s="92" t="s">
        <v>1724</v>
      </c>
      <c r="AO407" s="84" t="s">
        <v>1764</v>
      </c>
      <c r="AP407" s="84" t="b">
        <v>0</v>
      </c>
      <c r="AQ407" s="92" t="s">
        <v>1639</v>
      </c>
      <c r="AR407" s="84" t="s">
        <v>179</v>
      </c>
      <c r="AS407" s="84">
        <v>0</v>
      </c>
      <c r="AT407" s="84">
        <v>0</v>
      </c>
      <c r="AU407" s="84"/>
      <c r="AV407" s="84"/>
      <c r="AW407" s="84"/>
      <c r="AX407" s="84"/>
      <c r="AY407" s="84"/>
      <c r="AZ407" s="84"/>
      <c r="BA407" s="84"/>
      <c r="BB407" s="84"/>
    </row>
    <row r="408" spans="1:54" x14ac:dyDescent="0.2">
      <c r="A408" s="69" t="s">
        <v>323</v>
      </c>
      <c r="B408" s="69" t="s">
        <v>323</v>
      </c>
      <c r="C408" s="70"/>
      <c r="D408" s="71"/>
      <c r="E408" s="72"/>
      <c r="F408" s="73"/>
      <c r="G408" s="70"/>
      <c r="H408" s="74"/>
      <c r="I408" s="75"/>
      <c r="J408" s="75"/>
      <c r="K408" s="36"/>
      <c r="L408" s="82"/>
      <c r="M408" s="82"/>
      <c r="N408" s="77"/>
      <c r="O408" s="84" t="s">
        <v>179</v>
      </c>
      <c r="P408" s="86">
        <v>44018.490300925929</v>
      </c>
      <c r="Q408" s="84" t="s">
        <v>624</v>
      </c>
      <c r="R408" s="87" t="str">
        <f>HYPERLINK("https://twitter.com/suzumehotel/status/1279645646136328193")</f>
        <v>https://twitter.com/suzumehotel/status/1279645646136328193</v>
      </c>
      <c r="S408" s="84" t="s">
        <v>755</v>
      </c>
      <c r="T408" s="84" t="s">
        <v>781</v>
      </c>
      <c r="U408" s="84"/>
      <c r="V408" s="87" t="str">
        <f>HYPERLINK("http://pbs.twimg.com/profile_images/1254432121474539520/NZCUf-1J_normal.jpg")</f>
        <v>http://pbs.twimg.com/profile_images/1254432121474539520/NZCUf-1J_normal.jpg</v>
      </c>
      <c r="W408" s="86">
        <v>44018.490300925929</v>
      </c>
      <c r="X408" s="90">
        <v>44018</v>
      </c>
      <c r="Y408" s="92" t="s">
        <v>1012</v>
      </c>
      <c r="Z408" s="87" t="str">
        <f>HYPERLINK("https://twitter.com/whitecrow331/status/1280105725507719168")</f>
        <v>https://twitter.com/whitecrow331/status/1280105725507719168</v>
      </c>
      <c r="AA408" s="84"/>
      <c r="AB408" s="84"/>
      <c r="AC408" s="92" t="s">
        <v>1431</v>
      </c>
      <c r="AD408" s="84"/>
      <c r="AE408" s="84" t="b">
        <v>0</v>
      </c>
      <c r="AF408" s="84">
        <v>2</v>
      </c>
      <c r="AG408" s="92" t="s">
        <v>1724</v>
      </c>
      <c r="AH408" s="84" t="b">
        <v>1</v>
      </c>
      <c r="AI408" s="84" t="s">
        <v>1750</v>
      </c>
      <c r="AJ408" s="84"/>
      <c r="AK408" s="92" t="s">
        <v>1759</v>
      </c>
      <c r="AL408" s="84" t="b">
        <v>0</v>
      </c>
      <c r="AM408" s="84">
        <v>0</v>
      </c>
      <c r="AN408" s="92" t="s">
        <v>1724</v>
      </c>
      <c r="AO408" s="84" t="s">
        <v>1764</v>
      </c>
      <c r="AP408" s="84" t="b">
        <v>0</v>
      </c>
      <c r="AQ408" s="92" t="s">
        <v>1431</v>
      </c>
      <c r="AR408" s="84" t="s">
        <v>179</v>
      </c>
      <c r="AS408" s="84">
        <v>0</v>
      </c>
      <c r="AT408" s="84">
        <v>0</v>
      </c>
      <c r="AU408" s="84"/>
      <c r="AV408" s="84"/>
      <c r="AW408" s="84"/>
      <c r="AX408" s="84"/>
      <c r="AY408" s="84"/>
      <c r="AZ408" s="84"/>
      <c r="BA408" s="84"/>
      <c r="BB408" s="84"/>
    </row>
    <row r="409" spans="1:54" x14ac:dyDescent="0.2">
      <c r="A409" s="69" t="s">
        <v>245</v>
      </c>
      <c r="B409" s="69" t="s">
        <v>244</v>
      </c>
      <c r="C409" s="70"/>
      <c r="D409" s="71"/>
      <c r="E409" s="72"/>
      <c r="F409" s="73"/>
      <c r="G409" s="70"/>
      <c r="H409" s="74"/>
      <c r="I409" s="75"/>
      <c r="J409" s="75"/>
      <c r="K409" s="36"/>
      <c r="L409" s="82"/>
      <c r="M409" s="82"/>
      <c r="N409" s="77"/>
      <c r="O409" s="84" t="s">
        <v>500</v>
      </c>
      <c r="P409" s="86">
        <v>44018.478634259256</v>
      </c>
      <c r="Q409" s="84" t="s">
        <v>527</v>
      </c>
      <c r="R409" s="84"/>
      <c r="S409" s="84"/>
      <c r="T409" s="84"/>
      <c r="U409" s="84"/>
      <c r="V409" s="87" t="str">
        <f>HYPERLINK("http://pbs.twimg.com/profile_images/1272460306300768259/vBJM3TY__normal.jpg")</f>
        <v>http://pbs.twimg.com/profile_images/1272460306300768259/vBJM3TY__normal.jpg</v>
      </c>
      <c r="W409" s="86">
        <v>44018.478634259256</v>
      </c>
      <c r="X409" s="90">
        <v>44018</v>
      </c>
      <c r="Y409" s="92" t="s">
        <v>892</v>
      </c>
      <c r="Z409" s="87" t="str">
        <f>HYPERLINK("https://twitter.com/anuoluw5/status/1280101496089128960")</f>
        <v>https://twitter.com/anuoluw5/status/1280101496089128960</v>
      </c>
      <c r="AA409" s="84"/>
      <c r="AB409" s="84"/>
      <c r="AC409" s="92" t="s">
        <v>1311</v>
      </c>
      <c r="AD409" s="84"/>
      <c r="AE409" s="84" t="b">
        <v>0</v>
      </c>
      <c r="AF409" s="84">
        <v>0</v>
      </c>
      <c r="AG409" s="92" t="s">
        <v>1724</v>
      </c>
      <c r="AH409" s="84" t="b">
        <v>0</v>
      </c>
      <c r="AI409" s="84" t="s">
        <v>1751</v>
      </c>
      <c r="AJ409" s="84"/>
      <c r="AK409" s="92" t="s">
        <v>1724</v>
      </c>
      <c r="AL409" s="84" t="b">
        <v>0</v>
      </c>
      <c r="AM409" s="84">
        <v>1</v>
      </c>
      <c r="AN409" s="92" t="s">
        <v>1310</v>
      </c>
      <c r="AO409" s="84" t="s">
        <v>1764</v>
      </c>
      <c r="AP409" s="84" t="b">
        <v>0</v>
      </c>
      <c r="AQ409" s="92" t="s">
        <v>1310</v>
      </c>
      <c r="AR409" s="84" t="s">
        <v>179</v>
      </c>
      <c r="AS409" s="84">
        <v>0</v>
      </c>
      <c r="AT409" s="84">
        <v>0</v>
      </c>
      <c r="AU409" s="84"/>
      <c r="AV409" s="84"/>
      <c r="AW409" s="84"/>
      <c r="AX409" s="84"/>
      <c r="AY409" s="84"/>
      <c r="AZ409" s="84"/>
      <c r="BA409" s="84"/>
      <c r="BB409" s="84"/>
    </row>
    <row r="410" spans="1:54" x14ac:dyDescent="0.2">
      <c r="A410" s="69" t="s">
        <v>244</v>
      </c>
      <c r="B410" s="69" t="s">
        <v>244</v>
      </c>
      <c r="C410" s="70"/>
      <c r="D410" s="71"/>
      <c r="E410" s="72"/>
      <c r="F410" s="73"/>
      <c r="G410" s="70"/>
      <c r="H410" s="74"/>
      <c r="I410" s="75"/>
      <c r="J410" s="75"/>
      <c r="K410" s="36"/>
      <c r="L410" s="82"/>
      <c r="M410" s="82"/>
      <c r="N410" s="77"/>
      <c r="O410" s="84" t="s">
        <v>179</v>
      </c>
      <c r="P410" s="86">
        <v>44018.468784722223</v>
      </c>
      <c r="Q410" s="84" t="s">
        <v>527</v>
      </c>
      <c r="R410" s="87" t="str">
        <f>HYPERLINK("https://www.instagram.com/p/CCTG_1-nCsg/?igshid=1dfynklej962r")</f>
        <v>https://www.instagram.com/p/CCTG_1-nCsg/?igshid=1dfynklej962r</v>
      </c>
      <c r="S410" s="84" t="s">
        <v>759</v>
      </c>
      <c r="T410" s="84" t="s">
        <v>792</v>
      </c>
      <c r="U410" s="84"/>
      <c r="V410" s="87" t="str">
        <f>HYPERLINK("http://pbs.twimg.com/profile_images/1254564637594583040/FcTAxdBc_normal.jpg")</f>
        <v>http://pbs.twimg.com/profile_images/1254564637594583040/FcTAxdBc_normal.jpg</v>
      </c>
      <c r="W410" s="86">
        <v>44018.468784722223</v>
      </c>
      <c r="X410" s="90">
        <v>44018</v>
      </c>
      <c r="Y410" s="92" t="s">
        <v>891</v>
      </c>
      <c r="Z410" s="87" t="str">
        <f>HYPERLINK("https://twitter.com/houseoflunettes/status/1280097925197160449")</f>
        <v>https://twitter.com/houseoflunettes/status/1280097925197160449</v>
      </c>
      <c r="AA410" s="84"/>
      <c r="AB410" s="84"/>
      <c r="AC410" s="92" t="s">
        <v>1310</v>
      </c>
      <c r="AD410" s="84"/>
      <c r="AE410" s="84" t="b">
        <v>0</v>
      </c>
      <c r="AF410" s="84">
        <v>2</v>
      </c>
      <c r="AG410" s="92" t="s">
        <v>1724</v>
      </c>
      <c r="AH410" s="84" t="b">
        <v>0</v>
      </c>
      <c r="AI410" s="84" t="s">
        <v>1751</v>
      </c>
      <c r="AJ410" s="84"/>
      <c r="AK410" s="92" t="s">
        <v>1724</v>
      </c>
      <c r="AL410" s="84" t="b">
        <v>0</v>
      </c>
      <c r="AM410" s="84">
        <v>1</v>
      </c>
      <c r="AN410" s="92" t="s">
        <v>1724</v>
      </c>
      <c r="AO410" s="84" t="s">
        <v>1771</v>
      </c>
      <c r="AP410" s="84" t="b">
        <v>0</v>
      </c>
      <c r="AQ410" s="92" t="s">
        <v>1310</v>
      </c>
      <c r="AR410" s="84" t="s">
        <v>179</v>
      </c>
      <c r="AS410" s="84">
        <v>0</v>
      </c>
      <c r="AT410" s="84">
        <v>0</v>
      </c>
      <c r="AU410" s="84"/>
      <c r="AV410" s="84"/>
      <c r="AW410" s="84"/>
      <c r="AX410" s="84"/>
      <c r="AY410" s="84"/>
      <c r="AZ410" s="84"/>
      <c r="BA410" s="84"/>
      <c r="BB410" s="84"/>
    </row>
    <row r="411" spans="1:54" x14ac:dyDescent="0.2">
      <c r="A411" s="69" t="s">
        <v>400</v>
      </c>
      <c r="B411" s="69" t="s">
        <v>400</v>
      </c>
      <c r="C411" s="70"/>
      <c r="D411" s="71"/>
      <c r="E411" s="72"/>
      <c r="F411" s="73"/>
      <c r="G411" s="70"/>
      <c r="H411" s="74"/>
      <c r="I411" s="75"/>
      <c r="J411" s="75"/>
      <c r="K411" s="36"/>
      <c r="L411" s="82"/>
      <c r="M411" s="82"/>
      <c r="N411" s="77"/>
      <c r="O411" s="84" t="s">
        <v>179</v>
      </c>
      <c r="P411" s="86">
        <v>44018.437824074077</v>
      </c>
      <c r="Q411" s="84" t="s">
        <v>586</v>
      </c>
      <c r="R411" s="87" t="str">
        <f>HYPERLINK("https://m.facebook.com/anunknownkraftsman")</f>
        <v>https://m.facebook.com/anunknownkraftsman</v>
      </c>
      <c r="S411" s="84" t="s">
        <v>772</v>
      </c>
      <c r="T411" s="84" t="s">
        <v>842</v>
      </c>
      <c r="U411" s="84"/>
      <c r="V411" s="87" t="str">
        <f>HYPERLINK("http://pbs.twimg.com/profile_images/1142556013167632391/vMubfzN-_normal.jpg")</f>
        <v>http://pbs.twimg.com/profile_images/1142556013167632391/vMubfzN-_normal.jpg</v>
      </c>
      <c r="W411" s="86">
        <v>44018.437824074077</v>
      </c>
      <c r="X411" s="90">
        <v>44018</v>
      </c>
      <c r="Y411" s="92" t="s">
        <v>1131</v>
      </c>
      <c r="Z411" s="87" t="str">
        <f>HYPERLINK("https://twitter.com/hc_mmoor1868/status/1280086708508377088")</f>
        <v>https://twitter.com/hc_mmoor1868/status/1280086708508377088</v>
      </c>
      <c r="AA411" s="84"/>
      <c r="AB411" s="84"/>
      <c r="AC411" s="92" t="s">
        <v>1550</v>
      </c>
      <c r="AD411" s="84"/>
      <c r="AE411" s="84" t="b">
        <v>0</v>
      </c>
      <c r="AF411" s="84">
        <v>0</v>
      </c>
      <c r="AG411" s="92" t="s">
        <v>1724</v>
      </c>
      <c r="AH411" s="84" t="b">
        <v>0</v>
      </c>
      <c r="AI411" s="84" t="s">
        <v>1751</v>
      </c>
      <c r="AJ411" s="84"/>
      <c r="AK411" s="92" t="s">
        <v>1724</v>
      </c>
      <c r="AL411" s="84" t="b">
        <v>0</v>
      </c>
      <c r="AM411" s="84">
        <v>0</v>
      </c>
      <c r="AN411" s="92" t="s">
        <v>1724</v>
      </c>
      <c r="AO411" s="84" t="s">
        <v>1783</v>
      </c>
      <c r="AP411" s="84" t="b">
        <v>0</v>
      </c>
      <c r="AQ411" s="92" t="s">
        <v>1550</v>
      </c>
      <c r="AR411" s="84" t="s">
        <v>179</v>
      </c>
      <c r="AS411" s="84">
        <v>0</v>
      </c>
      <c r="AT411" s="84">
        <v>0</v>
      </c>
      <c r="AU411" s="84"/>
      <c r="AV411" s="84"/>
      <c r="AW411" s="84"/>
      <c r="AX411" s="84"/>
      <c r="AY411" s="84"/>
      <c r="AZ411" s="84"/>
      <c r="BA411" s="84"/>
      <c r="BB411" s="84"/>
    </row>
    <row r="412" spans="1:54" x14ac:dyDescent="0.2">
      <c r="A412" s="69" t="s">
        <v>409</v>
      </c>
      <c r="B412" s="69" t="s">
        <v>409</v>
      </c>
      <c r="C412" s="70"/>
      <c r="D412" s="71"/>
      <c r="E412" s="72"/>
      <c r="F412" s="73"/>
      <c r="G412" s="70"/>
      <c r="H412" s="74"/>
      <c r="I412" s="75"/>
      <c r="J412" s="75"/>
      <c r="K412" s="36"/>
      <c r="L412" s="82"/>
      <c r="M412" s="82"/>
      <c r="N412" s="77"/>
      <c r="O412" s="84" t="s">
        <v>179</v>
      </c>
      <c r="P412" s="86">
        <v>44018.362326388888</v>
      </c>
      <c r="Q412" s="84" t="s">
        <v>660</v>
      </c>
      <c r="R412" s="84"/>
      <c r="S412" s="84"/>
      <c r="T412" s="84" t="s">
        <v>781</v>
      </c>
      <c r="U412" s="84"/>
      <c r="V412" s="87" t="str">
        <f>HYPERLINK("http://pbs.twimg.com/profile_images/1236668333157519361/R8t7DbMO_normal.jpg")</f>
        <v>http://pbs.twimg.com/profile_images/1236668333157519361/R8t7DbMO_normal.jpg</v>
      </c>
      <c r="W412" s="86">
        <v>44018.362326388888</v>
      </c>
      <c r="X412" s="90">
        <v>44018</v>
      </c>
      <c r="Y412" s="92" t="s">
        <v>1163</v>
      </c>
      <c r="Z412" s="87" t="str">
        <f>HYPERLINK("https://twitter.com/sinxsan/status/1280059347238744066")</f>
        <v>https://twitter.com/sinxsan/status/1280059347238744066</v>
      </c>
      <c r="AA412" s="84"/>
      <c r="AB412" s="84"/>
      <c r="AC412" s="92" t="s">
        <v>1584</v>
      </c>
      <c r="AD412" s="92" t="s">
        <v>1583</v>
      </c>
      <c r="AE412" s="84" t="b">
        <v>0</v>
      </c>
      <c r="AF412" s="84">
        <v>4</v>
      </c>
      <c r="AG412" s="92" t="s">
        <v>1740</v>
      </c>
      <c r="AH412" s="84" t="b">
        <v>0</v>
      </c>
      <c r="AI412" s="84" t="s">
        <v>1750</v>
      </c>
      <c r="AJ412" s="84"/>
      <c r="AK412" s="92" t="s">
        <v>1724</v>
      </c>
      <c r="AL412" s="84" t="b">
        <v>0</v>
      </c>
      <c r="AM412" s="84">
        <v>1</v>
      </c>
      <c r="AN412" s="92" t="s">
        <v>1724</v>
      </c>
      <c r="AO412" s="84" t="s">
        <v>1763</v>
      </c>
      <c r="AP412" s="84" t="b">
        <v>0</v>
      </c>
      <c r="AQ412" s="92" t="s">
        <v>1583</v>
      </c>
      <c r="AR412" s="84" t="s">
        <v>179</v>
      </c>
      <c r="AS412" s="84">
        <v>0</v>
      </c>
      <c r="AT412" s="84">
        <v>0</v>
      </c>
      <c r="AU412" s="84"/>
      <c r="AV412" s="84"/>
      <c r="AW412" s="84"/>
      <c r="AX412" s="84"/>
      <c r="AY412" s="84"/>
      <c r="AZ412" s="84"/>
      <c r="BA412" s="84"/>
      <c r="BB412" s="84"/>
    </row>
    <row r="413" spans="1:54" x14ac:dyDescent="0.2">
      <c r="A413" s="69" t="s">
        <v>246</v>
      </c>
      <c r="B413" s="69" t="s">
        <v>246</v>
      </c>
      <c r="C413" s="70"/>
      <c r="D413" s="71"/>
      <c r="E413" s="72"/>
      <c r="F413" s="73"/>
      <c r="G413" s="70"/>
      <c r="H413" s="74"/>
      <c r="I413" s="75"/>
      <c r="J413" s="75"/>
      <c r="K413" s="36"/>
      <c r="L413" s="82"/>
      <c r="M413" s="82"/>
      <c r="N413" s="77"/>
      <c r="O413" s="84" t="s">
        <v>179</v>
      </c>
      <c r="P413" s="86">
        <v>44018.34516203704</v>
      </c>
      <c r="Q413" s="84" t="s">
        <v>535</v>
      </c>
      <c r="R413" s="84"/>
      <c r="S413" s="84"/>
      <c r="T413" s="84" t="s">
        <v>781</v>
      </c>
      <c r="U413" s="87" t="str">
        <f>HYPERLINK("https://pbs.twimg.com/media/EcOoqSvUMAAH9I-.jpg")</f>
        <v>https://pbs.twimg.com/media/EcOoqSvUMAAH9I-.jpg</v>
      </c>
      <c r="V413" s="87" t="str">
        <f>HYPERLINK("https://pbs.twimg.com/media/EcOoqSvUMAAH9I-.jpg")</f>
        <v>https://pbs.twimg.com/media/EcOoqSvUMAAH9I-.jpg</v>
      </c>
      <c r="W413" s="86">
        <v>44018.34516203704</v>
      </c>
      <c r="X413" s="90">
        <v>44018</v>
      </c>
      <c r="Y413" s="92" t="s">
        <v>900</v>
      </c>
      <c r="Z413" s="87" t="str">
        <f>HYPERLINK("https://twitter.com/kokyona/status/1280053128176340992")</f>
        <v>https://twitter.com/kokyona/status/1280053128176340992</v>
      </c>
      <c r="AA413" s="84"/>
      <c r="AB413" s="84"/>
      <c r="AC413" s="92" t="s">
        <v>1319</v>
      </c>
      <c r="AD413" s="84"/>
      <c r="AE413" s="84" t="b">
        <v>0</v>
      </c>
      <c r="AF413" s="84">
        <v>0</v>
      </c>
      <c r="AG413" s="92" t="s">
        <v>1724</v>
      </c>
      <c r="AH413" s="84" t="b">
        <v>0</v>
      </c>
      <c r="AI413" s="84" t="s">
        <v>1750</v>
      </c>
      <c r="AJ413" s="84"/>
      <c r="AK413" s="92" t="s">
        <v>1724</v>
      </c>
      <c r="AL413" s="84" t="b">
        <v>0</v>
      </c>
      <c r="AM413" s="84">
        <v>0</v>
      </c>
      <c r="AN413" s="92" t="s">
        <v>1724</v>
      </c>
      <c r="AO413" s="84" t="s">
        <v>1766</v>
      </c>
      <c r="AP413" s="84" t="b">
        <v>0</v>
      </c>
      <c r="AQ413" s="92" t="s">
        <v>1319</v>
      </c>
      <c r="AR413" s="84" t="s">
        <v>179</v>
      </c>
      <c r="AS413" s="84">
        <v>0</v>
      </c>
      <c r="AT413" s="84">
        <v>0</v>
      </c>
      <c r="AU413" s="84"/>
      <c r="AV413" s="84"/>
      <c r="AW413" s="84"/>
      <c r="AX413" s="84"/>
      <c r="AY413" s="84"/>
      <c r="AZ413" s="84"/>
      <c r="BA413" s="84"/>
      <c r="BB413" s="84"/>
    </row>
    <row r="414" spans="1:54" x14ac:dyDescent="0.2">
      <c r="A414" s="69" t="s">
        <v>459</v>
      </c>
      <c r="B414" s="69" t="s">
        <v>459</v>
      </c>
      <c r="C414" s="70"/>
      <c r="D414" s="71"/>
      <c r="E414" s="72"/>
      <c r="F414" s="73"/>
      <c r="G414" s="70"/>
      <c r="H414" s="74"/>
      <c r="I414" s="75"/>
      <c r="J414" s="75"/>
      <c r="K414" s="36"/>
      <c r="L414" s="82"/>
      <c r="M414" s="82"/>
      <c r="N414" s="77"/>
      <c r="O414" s="84" t="s">
        <v>179</v>
      </c>
      <c r="P414" s="86">
        <v>44018.23709490741</v>
      </c>
      <c r="Q414" s="84" t="s">
        <v>747</v>
      </c>
      <c r="R414" s="87" t="str">
        <f>HYPERLINK("https://www.instagram.com/p/CCSerBlhpdj/")</f>
        <v>https://www.instagram.com/p/CCSerBlhpdj/</v>
      </c>
      <c r="S414" s="84" t="s">
        <v>759</v>
      </c>
      <c r="T414" s="84" t="s">
        <v>859</v>
      </c>
      <c r="U414" s="87" t="str">
        <f>HYPERLINK("https://pbs.twimg.com/media/EcOF6urXkAEcmPp.jpg")</f>
        <v>https://pbs.twimg.com/media/EcOF6urXkAEcmPp.jpg</v>
      </c>
      <c r="V414" s="87" t="str">
        <f>HYPERLINK("https://pbs.twimg.com/media/EcOF6urXkAEcmPp.jpg")</f>
        <v>https://pbs.twimg.com/media/EcOF6urXkAEcmPp.jpg</v>
      </c>
      <c r="W414" s="86">
        <v>44018.23709490741</v>
      </c>
      <c r="X414" s="90">
        <v>44018</v>
      </c>
      <c r="Y414" s="92" t="s">
        <v>1263</v>
      </c>
      <c r="Z414" s="87" t="str">
        <f>HYPERLINK("https://twitter.com/lookstorei/status/1280013964391440384")</f>
        <v>https://twitter.com/lookstorei/status/1280013964391440384</v>
      </c>
      <c r="AA414" s="84"/>
      <c r="AB414" s="84"/>
      <c r="AC414" s="92" t="s">
        <v>1685</v>
      </c>
      <c r="AD414" s="84"/>
      <c r="AE414" s="84" t="b">
        <v>0</v>
      </c>
      <c r="AF414" s="84">
        <v>0</v>
      </c>
      <c r="AG414" s="92" t="s">
        <v>1724</v>
      </c>
      <c r="AH414" s="84" t="b">
        <v>0</v>
      </c>
      <c r="AI414" s="84" t="s">
        <v>1751</v>
      </c>
      <c r="AJ414" s="84"/>
      <c r="AK414" s="92" t="s">
        <v>1724</v>
      </c>
      <c r="AL414" s="84" t="b">
        <v>0</v>
      </c>
      <c r="AM414" s="84">
        <v>0</v>
      </c>
      <c r="AN414" s="92" t="s">
        <v>1724</v>
      </c>
      <c r="AO414" s="84" t="s">
        <v>1783</v>
      </c>
      <c r="AP414" s="84" t="b">
        <v>0</v>
      </c>
      <c r="AQ414" s="92" t="s">
        <v>1685</v>
      </c>
      <c r="AR414" s="84" t="s">
        <v>179</v>
      </c>
      <c r="AS414" s="84">
        <v>0</v>
      </c>
      <c r="AT414" s="84">
        <v>0</v>
      </c>
      <c r="AU414" s="84"/>
      <c r="AV414" s="84"/>
      <c r="AW414" s="84"/>
      <c r="AX414" s="84"/>
      <c r="AY414" s="84"/>
      <c r="AZ414" s="84"/>
      <c r="BA414" s="84"/>
      <c r="BB414" s="84"/>
    </row>
    <row r="415" spans="1:54" x14ac:dyDescent="0.2">
      <c r="A415" s="69" t="s">
        <v>436</v>
      </c>
      <c r="B415" s="69" t="s">
        <v>438</v>
      </c>
      <c r="C415" s="70"/>
      <c r="D415" s="71"/>
      <c r="E415" s="72"/>
      <c r="F415" s="73"/>
      <c r="G415" s="70"/>
      <c r="H415" s="74"/>
      <c r="I415" s="75"/>
      <c r="J415" s="75"/>
      <c r="K415" s="36"/>
      <c r="L415" s="82"/>
      <c r="M415" s="82"/>
      <c r="N415" s="77"/>
      <c r="O415" s="84" t="s">
        <v>500</v>
      </c>
      <c r="P415" s="86">
        <v>44018.167546296296</v>
      </c>
      <c r="Q415" s="84" t="s">
        <v>727</v>
      </c>
      <c r="R415" s="84"/>
      <c r="S415" s="84"/>
      <c r="T415" s="84"/>
      <c r="U415" s="84"/>
      <c r="V415" s="87" t="str">
        <f>HYPERLINK("http://pbs.twimg.com/profile_images/1138281193714044929/gYfMYMEB_normal.jpg")</f>
        <v>http://pbs.twimg.com/profile_images/1138281193714044929/gYfMYMEB_normal.jpg</v>
      </c>
      <c r="W415" s="86">
        <v>44018.167546296296</v>
      </c>
      <c r="X415" s="90">
        <v>44018</v>
      </c>
      <c r="Y415" s="92" t="s">
        <v>1217</v>
      </c>
      <c r="Z415" s="87" t="str">
        <f>HYPERLINK("https://twitter.com/waiwai5321/status/1279988761749630976")</f>
        <v>https://twitter.com/waiwai5321/status/1279988761749630976</v>
      </c>
      <c r="AA415" s="84"/>
      <c r="AB415" s="84"/>
      <c r="AC415" s="92" t="s">
        <v>1638</v>
      </c>
      <c r="AD415" s="84"/>
      <c r="AE415" s="84" t="b">
        <v>0</v>
      </c>
      <c r="AF415" s="84">
        <v>0</v>
      </c>
      <c r="AG415" s="92" t="s">
        <v>1724</v>
      </c>
      <c r="AH415" s="84" t="b">
        <v>0</v>
      </c>
      <c r="AI415" s="84" t="s">
        <v>1750</v>
      </c>
      <c r="AJ415" s="84"/>
      <c r="AK415" s="92" t="s">
        <v>1724</v>
      </c>
      <c r="AL415" s="84" t="b">
        <v>0</v>
      </c>
      <c r="AM415" s="84">
        <v>1</v>
      </c>
      <c r="AN415" s="92" t="s">
        <v>1636</v>
      </c>
      <c r="AO415" s="84" t="s">
        <v>1763</v>
      </c>
      <c r="AP415" s="84" t="b">
        <v>0</v>
      </c>
      <c r="AQ415" s="92" t="s">
        <v>1636</v>
      </c>
      <c r="AR415" s="84" t="s">
        <v>179</v>
      </c>
      <c r="AS415" s="84">
        <v>0</v>
      </c>
      <c r="AT415" s="84">
        <v>0</v>
      </c>
      <c r="AU415" s="84"/>
      <c r="AV415" s="84"/>
      <c r="AW415" s="84"/>
      <c r="AX415" s="84"/>
      <c r="AY415" s="84"/>
      <c r="AZ415" s="84"/>
      <c r="BA415" s="84"/>
      <c r="BB415" s="84"/>
    </row>
    <row r="416" spans="1:54" x14ac:dyDescent="0.2">
      <c r="A416" s="69" t="s">
        <v>316</v>
      </c>
      <c r="B416" s="69" t="s">
        <v>316</v>
      </c>
      <c r="C416" s="70"/>
      <c r="D416" s="71"/>
      <c r="E416" s="72"/>
      <c r="F416" s="73"/>
      <c r="G416" s="70"/>
      <c r="H416" s="74"/>
      <c r="I416" s="75"/>
      <c r="J416" s="75"/>
      <c r="K416" s="36"/>
      <c r="L416" s="82"/>
      <c r="M416" s="82"/>
      <c r="N416" s="77"/>
      <c r="O416" s="84" t="s">
        <v>179</v>
      </c>
      <c r="P416" s="86">
        <v>44018.154027777775</v>
      </c>
      <c r="Q416" s="84" t="s">
        <v>611</v>
      </c>
      <c r="R416" s="87" t="str">
        <f>HYPERLINK("https://www.ebay.com/itm/Ray-Ban-Denim-Wayfarer-Sunglasses-RB2140-Blue-/174246174362")</f>
        <v>https://www.ebay.com/itm/Ray-Ban-Denim-Wayfarer-Sunglasses-RB2140-Blue-/174246174362</v>
      </c>
      <c r="S416" s="84" t="s">
        <v>773</v>
      </c>
      <c r="T416" s="84" t="s">
        <v>823</v>
      </c>
      <c r="U416" s="87" t="str">
        <f>HYPERLINK("https://pbs.twimg.com/media/EcNqimpX0AAziSg.jpg")</f>
        <v>https://pbs.twimg.com/media/EcNqimpX0AAziSg.jpg</v>
      </c>
      <c r="V416" s="87" t="str">
        <f>HYPERLINK("https://pbs.twimg.com/media/EcNqimpX0AAziSg.jpg")</f>
        <v>https://pbs.twimg.com/media/EcNqimpX0AAziSg.jpg</v>
      </c>
      <c r="W416" s="86">
        <v>44018.154027777775</v>
      </c>
      <c r="X416" s="90">
        <v>44018</v>
      </c>
      <c r="Y416" s="92" t="s">
        <v>998</v>
      </c>
      <c r="Z416" s="87" t="str">
        <f>HYPERLINK("https://twitter.com/esquireattire/status/1279983863188635649")</f>
        <v>https://twitter.com/esquireattire/status/1279983863188635649</v>
      </c>
      <c r="AA416" s="84"/>
      <c r="AB416" s="84"/>
      <c r="AC416" s="92" t="s">
        <v>1417</v>
      </c>
      <c r="AD416" s="84"/>
      <c r="AE416" s="84" t="b">
        <v>0</v>
      </c>
      <c r="AF416" s="84">
        <v>0</v>
      </c>
      <c r="AG416" s="92" t="s">
        <v>1724</v>
      </c>
      <c r="AH416" s="84" t="b">
        <v>0</v>
      </c>
      <c r="AI416" s="84" t="s">
        <v>1751</v>
      </c>
      <c r="AJ416" s="84"/>
      <c r="AK416" s="92" t="s">
        <v>1724</v>
      </c>
      <c r="AL416" s="84" t="b">
        <v>0</v>
      </c>
      <c r="AM416" s="84">
        <v>0</v>
      </c>
      <c r="AN416" s="92" t="s">
        <v>1724</v>
      </c>
      <c r="AO416" s="84" t="s">
        <v>1780</v>
      </c>
      <c r="AP416" s="84" t="b">
        <v>0</v>
      </c>
      <c r="AQ416" s="92" t="s">
        <v>1417</v>
      </c>
      <c r="AR416" s="84" t="s">
        <v>179</v>
      </c>
      <c r="AS416" s="84">
        <v>0</v>
      </c>
      <c r="AT416" s="84">
        <v>0</v>
      </c>
      <c r="AU416" s="84"/>
      <c r="AV416" s="84"/>
      <c r="AW416" s="84"/>
      <c r="AX416" s="84"/>
      <c r="AY416" s="84"/>
      <c r="AZ416" s="84"/>
      <c r="BA416" s="84"/>
      <c r="BB416" s="84"/>
    </row>
    <row r="417" spans="1:54" x14ac:dyDescent="0.2">
      <c r="A417" s="69" t="s">
        <v>243</v>
      </c>
      <c r="B417" s="69" t="s">
        <v>466</v>
      </c>
      <c r="C417" s="70"/>
      <c r="D417" s="71"/>
      <c r="E417" s="72"/>
      <c r="F417" s="73"/>
      <c r="G417" s="70"/>
      <c r="H417" s="74"/>
      <c r="I417" s="75"/>
      <c r="J417" s="75"/>
      <c r="K417" s="36"/>
      <c r="L417" s="82"/>
      <c r="M417" s="82"/>
      <c r="N417" s="77"/>
      <c r="O417" s="84" t="s">
        <v>502</v>
      </c>
      <c r="P417" s="86">
        <v>44018.099733796298</v>
      </c>
      <c r="Q417" s="84" t="s">
        <v>526</v>
      </c>
      <c r="R417" s="87" t="str">
        <f>HYPERLINK("https://www.twitch.tv/xrazorx_2")</f>
        <v>https://www.twitch.tv/xrazorx_2</v>
      </c>
      <c r="S417" s="84" t="s">
        <v>758</v>
      </c>
      <c r="T417" s="84" t="s">
        <v>791</v>
      </c>
      <c r="U417" s="84"/>
      <c r="V417" s="87" t="str">
        <f>HYPERLINK("http://pbs.twimg.com/profile_images/1117237815463428097/v-H0VSAG_normal.png")</f>
        <v>http://pbs.twimg.com/profile_images/1117237815463428097/v-H0VSAG_normal.png</v>
      </c>
      <c r="W417" s="86">
        <v>44018.099733796298</v>
      </c>
      <c r="X417" s="90">
        <v>44018</v>
      </c>
      <c r="Y417" s="92" t="s">
        <v>890</v>
      </c>
      <c r="Z417" s="87" t="str">
        <f>HYPERLINK("https://twitter.com/smallstreamersr/status/1279964185917485059")</f>
        <v>https://twitter.com/smallstreamersr/status/1279964185917485059</v>
      </c>
      <c r="AA417" s="84"/>
      <c r="AB417" s="84"/>
      <c r="AC417" s="92" t="s">
        <v>1309</v>
      </c>
      <c r="AD417" s="84"/>
      <c r="AE417" s="84" t="b">
        <v>0</v>
      </c>
      <c r="AF417" s="84">
        <v>0</v>
      </c>
      <c r="AG417" s="92" t="s">
        <v>1724</v>
      </c>
      <c r="AH417" s="84" t="b">
        <v>0</v>
      </c>
      <c r="AI417" s="84" t="s">
        <v>1751</v>
      </c>
      <c r="AJ417" s="84"/>
      <c r="AK417" s="92" t="s">
        <v>1724</v>
      </c>
      <c r="AL417" s="84" t="b">
        <v>0</v>
      </c>
      <c r="AM417" s="84">
        <v>1</v>
      </c>
      <c r="AN417" s="92" t="s">
        <v>1308</v>
      </c>
      <c r="AO417" s="84" t="s">
        <v>1770</v>
      </c>
      <c r="AP417" s="84" t="b">
        <v>0</v>
      </c>
      <c r="AQ417" s="92" t="s">
        <v>1308</v>
      </c>
      <c r="AR417" s="84" t="s">
        <v>179</v>
      </c>
      <c r="AS417" s="84">
        <v>0</v>
      </c>
      <c r="AT417" s="84">
        <v>0</v>
      </c>
      <c r="AU417" s="84"/>
      <c r="AV417" s="84"/>
      <c r="AW417" s="84"/>
      <c r="AX417" s="84"/>
      <c r="AY417" s="84"/>
      <c r="AZ417" s="84"/>
      <c r="BA417" s="84"/>
      <c r="BB417" s="84"/>
    </row>
    <row r="418" spans="1:54" x14ac:dyDescent="0.2">
      <c r="A418" s="69" t="s">
        <v>243</v>
      </c>
      <c r="B418" s="69" t="s">
        <v>242</v>
      </c>
      <c r="C418" s="70"/>
      <c r="D418" s="71"/>
      <c r="E418" s="72"/>
      <c r="F418" s="73"/>
      <c r="G418" s="70"/>
      <c r="H418" s="74"/>
      <c r="I418" s="75"/>
      <c r="J418" s="75"/>
      <c r="K418" s="36"/>
      <c r="L418" s="82"/>
      <c r="M418" s="82"/>
      <c r="N418" s="77"/>
      <c r="O418" s="84" t="s">
        <v>500</v>
      </c>
      <c r="P418" s="86">
        <v>44018.099733796298</v>
      </c>
      <c r="Q418" s="84" t="s">
        <v>526</v>
      </c>
      <c r="R418" s="87" t="str">
        <f>HYPERLINK("https://www.twitch.tv/xrazorx_2")</f>
        <v>https://www.twitch.tv/xrazorx_2</v>
      </c>
      <c r="S418" s="84" t="s">
        <v>758</v>
      </c>
      <c r="T418" s="84" t="s">
        <v>791</v>
      </c>
      <c r="U418" s="84"/>
      <c r="V418" s="87" t="str">
        <f>HYPERLINK("http://pbs.twimg.com/profile_images/1117237815463428097/v-H0VSAG_normal.png")</f>
        <v>http://pbs.twimg.com/profile_images/1117237815463428097/v-H0VSAG_normal.png</v>
      </c>
      <c r="W418" s="86">
        <v>44018.099733796298</v>
      </c>
      <c r="X418" s="90">
        <v>44018</v>
      </c>
      <c r="Y418" s="92" t="s">
        <v>890</v>
      </c>
      <c r="Z418" s="87" t="str">
        <f>HYPERLINK("https://twitter.com/smallstreamersr/status/1279964185917485059")</f>
        <v>https://twitter.com/smallstreamersr/status/1279964185917485059</v>
      </c>
      <c r="AA418" s="84"/>
      <c r="AB418" s="84"/>
      <c r="AC418" s="92" t="s">
        <v>1309</v>
      </c>
      <c r="AD418" s="84"/>
      <c r="AE418" s="84" t="b">
        <v>0</v>
      </c>
      <c r="AF418" s="84">
        <v>0</v>
      </c>
      <c r="AG418" s="92" t="s">
        <v>1724</v>
      </c>
      <c r="AH418" s="84" t="b">
        <v>0</v>
      </c>
      <c r="AI418" s="84" t="s">
        <v>1751</v>
      </c>
      <c r="AJ418" s="84"/>
      <c r="AK418" s="92" t="s">
        <v>1724</v>
      </c>
      <c r="AL418" s="84" t="b">
        <v>0</v>
      </c>
      <c r="AM418" s="84">
        <v>1</v>
      </c>
      <c r="AN418" s="92" t="s">
        <v>1308</v>
      </c>
      <c r="AO418" s="84" t="s">
        <v>1770</v>
      </c>
      <c r="AP418" s="84" t="b">
        <v>0</v>
      </c>
      <c r="AQ418" s="92" t="s">
        <v>1308</v>
      </c>
      <c r="AR418" s="84" t="s">
        <v>179</v>
      </c>
      <c r="AS418" s="84">
        <v>0</v>
      </c>
      <c r="AT418" s="84">
        <v>0</v>
      </c>
      <c r="AU418" s="84"/>
      <c r="AV418" s="84"/>
      <c r="AW418" s="84"/>
      <c r="AX418" s="84"/>
      <c r="AY418" s="84"/>
      <c r="AZ418" s="84"/>
      <c r="BA418" s="84"/>
      <c r="BB418" s="84"/>
    </row>
    <row r="419" spans="1:54" x14ac:dyDescent="0.2">
      <c r="A419" s="69" t="s">
        <v>242</v>
      </c>
      <c r="B419" s="69" t="s">
        <v>466</v>
      </c>
      <c r="C419" s="70"/>
      <c r="D419" s="71"/>
      <c r="E419" s="72"/>
      <c r="F419" s="73"/>
      <c r="G419" s="70"/>
      <c r="H419" s="74"/>
      <c r="I419" s="75"/>
      <c r="J419" s="75"/>
      <c r="K419" s="36"/>
      <c r="L419" s="82"/>
      <c r="M419" s="82"/>
      <c r="N419" s="77"/>
      <c r="O419" s="84" t="s">
        <v>501</v>
      </c>
      <c r="P419" s="86">
        <v>44018.00271990741</v>
      </c>
      <c r="Q419" s="84" t="s">
        <v>526</v>
      </c>
      <c r="R419" s="87" t="str">
        <f>HYPERLINK("https://www.twitch.tv/xrazorx_2")</f>
        <v>https://www.twitch.tv/xrazorx_2</v>
      </c>
      <c r="S419" s="84" t="s">
        <v>758</v>
      </c>
      <c r="T419" s="84" t="s">
        <v>790</v>
      </c>
      <c r="U419" s="84"/>
      <c r="V419" s="87" t="str">
        <f>HYPERLINK("http://pbs.twimg.com/profile_images/1156655867892289538/-18LbzZc_normal.jpg")</f>
        <v>http://pbs.twimg.com/profile_images/1156655867892289538/-18LbzZc_normal.jpg</v>
      </c>
      <c r="W419" s="86">
        <v>44018.00271990741</v>
      </c>
      <c r="X419" s="90">
        <v>44018</v>
      </c>
      <c r="Y419" s="92" t="s">
        <v>889</v>
      </c>
      <c r="Z419" s="87" t="str">
        <f>HYPERLINK("https://twitter.com/xrazorx2/status/1279929030607876097")</f>
        <v>https://twitter.com/xrazorx2/status/1279929030607876097</v>
      </c>
      <c r="AA419" s="84"/>
      <c r="AB419" s="84"/>
      <c r="AC419" s="92" t="s">
        <v>1308</v>
      </c>
      <c r="AD419" s="84"/>
      <c r="AE419" s="84" t="b">
        <v>0</v>
      </c>
      <c r="AF419" s="84">
        <v>3</v>
      </c>
      <c r="AG419" s="92" t="s">
        <v>1724</v>
      </c>
      <c r="AH419" s="84" t="b">
        <v>0</v>
      </c>
      <c r="AI419" s="84" t="s">
        <v>1751</v>
      </c>
      <c r="AJ419" s="84"/>
      <c r="AK419" s="92" t="s">
        <v>1724</v>
      </c>
      <c r="AL419" s="84" t="b">
        <v>0</v>
      </c>
      <c r="AM419" s="84">
        <v>1</v>
      </c>
      <c r="AN419" s="92" t="s">
        <v>1724</v>
      </c>
      <c r="AO419" s="84" t="s">
        <v>1766</v>
      </c>
      <c r="AP419" s="84" t="b">
        <v>0</v>
      </c>
      <c r="AQ419" s="92" t="s">
        <v>1308</v>
      </c>
      <c r="AR419" s="84" t="s">
        <v>179</v>
      </c>
      <c r="AS419" s="84">
        <v>0</v>
      </c>
      <c r="AT419" s="84">
        <v>0</v>
      </c>
      <c r="AU419" s="84"/>
      <c r="AV419" s="84"/>
      <c r="AW419" s="84"/>
      <c r="AX419" s="84"/>
      <c r="AY419" s="84"/>
      <c r="AZ419" s="84"/>
      <c r="BA419" s="84"/>
      <c r="BB419" s="84"/>
    </row>
    <row r="420" spans="1:54" x14ac:dyDescent="0.2">
      <c r="A420" s="69" t="s">
        <v>438</v>
      </c>
      <c r="B420" s="69" t="s">
        <v>438</v>
      </c>
      <c r="C420" s="70"/>
      <c r="D420" s="71"/>
      <c r="E420" s="72"/>
      <c r="F420" s="73"/>
      <c r="G420" s="70"/>
      <c r="H420" s="74"/>
      <c r="I420" s="75"/>
      <c r="J420" s="75"/>
      <c r="K420" s="36"/>
      <c r="L420" s="82"/>
      <c r="M420" s="82"/>
      <c r="N420" s="77"/>
      <c r="O420" s="84" t="s">
        <v>179</v>
      </c>
      <c r="P420" s="86">
        <v>44017.961782407408</v>
      </c>
      <c r="Q420" s="84" t="s">
        <v>727</v>
      </c>
      <c r="R420" s="84"/>
      <c r="S420" s="84"/>
      <c r="T420" s="84" t="s">
        <v>854</v>
      </c>
      <c r="U420" s="87" t="str">
        <f>HYPERLINK("https://pbs.twimg.com/media/EcMrK7SVAAATvP-.jpg")</f>
        <v>https://pbs.twimg.com/media/EcMrK7SVAAATvP-.jpg</v>
      </c>
      <c r="V420" s="87" t="str">
        <f>HYPERLINK("https://pbs.twimg.com/media/EcMrK7SVAAATvP-.jpg")</f>
        <v>https://pbs.twimg.com/media/EcMrK7SVAAATvP-.jpg</v>
      </c>
      <c r="W420" s="86">
        <v>44017.961782407408</v>
      </c>
      <c r="X420" s="90">
        <v>44017</v>
      </c>
      <c r="Y420" s="92" t="s">
        <v>1215</v>
      </c>
      <c r="Z420" s="87" t="str">
        <f>HYPERLINK("https://twitter.com/ueji24/status/1279914194431643648")</f>
        <v>https://twitter.com/ueji24/status/1279914194431643648</v>
      </c>
      <c r="AA420" s="84"/>
      <c r="AB420" s="84"/>
      <c r="AC420" s="92" t="s">
        <v>1636</v>
      </c>
      <c r="AD420" s="84"/>
      <c r="AE420" s="84" t="b">
        <v>0</v>
      </c>
      <c r="AF420" s="84">
        <v>2</v>
      </c>
      <c r="AG420" s="92" t="s">
        <v>1724</v>
      </c>
      <c r="AH420" s="84" t="b">
        <v>0</v>
      </c>
      <c r="AI420" s="84" t="s">
        <v>1750</v>
      </c>
      <c r="AJ420" s="84"/>
      <c r="AK420" s="92" t="s">
        <v>1724</v>
      </c>
      <c r="AL420" s="84" t="b">
        <v>0</v>
      </c>
      <c r="AM420" s="84">
        <v>1</v>
      </c>
      <c r="AN420" s="92" t="s">
        <v>1724</v>
      </c>
      <c r="AO420" s="84" t="s">
        <v>1764</v>
      </c>
      <c r="AP420" s="84" t="b">
        <v>0</v>
      </c>
      <c r="AQ420" s="92" t="s">
        <v>1636</v>
      </c>
      <c r="AR420" s="84" t="s">
        <v>179</v>
      </c>
      <c r="AS420" s="84">
        <v>0</v>
      </c>
      <c r="AT420" s="84">
        <v>0</v>
      </c>
      <c r="AU420" s="84"/>
      <c r="AV420" s="84"/>
      <c r="AW420" s="84"/>
      <c r="AX420" s="84"/>
      <c r="AY420" s="84"/>
      <c r="AZ420" s="84"/>
      <c r="BA420" s="84"/>
      <c r="BB420" s="84"/>
    </row>
    <row r="421" spans="1:54" x14ac:dyDescent="0.2">
      <c r="A421" s="69" t="s">
        <v>409</v>
      </c>
      <c r="B421" s="69" t="s">
        <v>409</v>
      </c>
      <c r="C421" s="70"/>
      <c r="D421" s="71"/>
      <c r="E421" s="72"/>
      <c r="F421" s="73"/>
      <c r="G421" s="70"/>
      <c r="H421" s="74"/>
      <c r="I421" s="75"/>
      <c r="J421" s="75"/>
      <c r="K421" s="36"/>
      <c r="L421" s="82"/>
      <c r="M421" s="82"/>
      <c r="N421" s="77"/>
      <c r="O421" s="84" t="s">
        <v>179</v>
      </c>
      <c r="P421" s="86">
        <v>44017.913055555553</v>
      </c>
      <c r="Q421" s="84" t="s">
        <v>661</v>
      </c>
      <c r="R421" s="84"/>
      <c r="S421" s="84"/>
      <c r="T421" s="84" t="s">
        <v>781</v>
      </c>
      <c r="U421" s="84"/>
      <c r="V421" s="87" t="str">
        <f>HYPERLINK("http://pbs.twimg.com/profile_images/1236668333157519361/R8t7DbMO_normal.jpg")</f>
        <v>http://pbs.twimg.com/profile_images/1236668333157519361/R8t7DbMO_normal.jpg</v>
      </c>
      <c r="W421" s="86">
        <v>44017.913055555553</v>
      </c>
      <c r="X421" s="90">
        <v>44017</v>
      </c>
      <c r="Y421" s="92" t="s">
        <v>1162</v>
      </c>
      <c r="Z421" s="87" t="str">
        <f>HYPERLINK("https://twitter.com/sinxsan/status/1279896536340508673")</f>
        <v>https://twitter.com/sinxsan/status/1279896536340508673</v>
      </c>
      <c r="AA421" s="84"/>
      <c r="AB421" s="84"/>
      <c r="AC421" s="92" t="s">
        <v>1583</v>
      </c>
      <c r="AD421" s="92" t="s">
        <v>1582</v>
      </c>
      <c r="AE421" s="84" t="b">
        <v>0</v>
      </c>
      <c r="AF421" s="84">
        <v>8</v>
      </c>
      <c r="AG421" s="92" t="s">
        <v>1740</v>
      </c>
      <c r="AH421" s="84" t="b">
        <v>0</v>
      </c>
      <c r="AI421" s="84" t="s">
        <v>1750</v>
      </c>
      <c r="AJ421" s="84"/>
      <c r="AK421" s="92" t="s">
        <v>1724</v>
      </c>
      <c r="AL421" s="84" t="b">
        <v>0</v>
      </c>
      <c r="AM421" s="84">
        <v>1</v>
      </c>
      <c r="AN421" s="92" t="s">
        <v>1724</v>
      </c>
      <c r="AO421" s="84" t="s">
        <v>1763</v>
      </c>
      <c r="AP421" s="84" t="b">
        <v>0</v>
      </c>
      <c r="AQ421" s="92" t="s">
        <v>1582</v>
      </c>
      <c r="AR421" s="84" t="s">
        <v>179</v>
      </c>
      <c r="AS421" s="84">
        <v>0</v>
      </c>
      <c r="AT421" s="84">
        <v>0</v>
      </c>
      <c r="AU421" s="84"/>
      <c r="AV421" s="84"/>
      <c r="AW421" s="84"/>
      <c r="AX421" s="84"/>
      <c r="AY421" s="84"/>
      <c r="AZ421" s="84"/>
      <c r="BA421" s="84"/>
      <c r="BB421" s="84"/>
    </row>
    <row r="422" spans="1:54" x14ac:dyDescent="0.2">
      <c r="A422" s="69" t="s">
        <v>359</v>
      </c>
      <c r="B422" s="69" t="s">
        <v>359</v>
      </c>
      <c r="C422" s="70"/>
      <c r="D422" s="71"/>
      <c r="E422" s="72"/>
      <c r="F422" s="73"/>
      <c r="G422" s="70"/>
      <c r="H422" s="74"/>
      <c r="I422" s="75"/>
      <c r="J422" s="75"/>
      <c r="K422" s="36"/>
      <c r="L422" s="82"/>
      <c r="M422" s="82"/>
      <c r="N422" s="77"/>
      <c r="O422" s="84" t="s">
        <v>179</v>
      </c>
      <c r="P422" s="86">
        <v>44017.903611111113</v>
      </c>
      <c r="Q422" s="84" t="s">
        <v>669</v>
      </c>
      <c r="R422" s="84"/>
      <c r="S422" s="84"/>
      <c r="T422" s="84" t="s">
        <v>780</v>
      </c>
      <c r="U422" s="87" t="str">
        <f>HYPERLINK("https://pbs.twimg.com/media/EcMX-XGU0AI4nlc.jpg")</f>
        <v>https://pbs.twimg.com/media/EcMX-XGU0AI4nlc.jpg</v>
      </c>
      <c r="V422" s="87" t="str">
        <f>HYPERLINK("https://pbs.twimg.com/media/EcMX-XGU0AI4nlc.jpg")</f>
        <v>https://pbs.twimg.com/media/EcMX-XGU0AI4nlc.jpg</v>
      </c>
      <c r="W422" s="86">
        <v>44017.903611111113</v>
      </c>
      <c r="X422" s="90">
        <v>44017</v>
      </c>
      <c r="Y422" s="92" t="s">
        <v>1078</v>
      </c>
      <c r="Z422" s="87" t="str">
        <f>HYPERLINK("https://twitter.com/hiho_3tafe/status/1279893115059318784")</f>
        <v>https://twitter.com/hiho_3tafe/status/1279893115059318784</v>
      </c>
      <c r="AA422" s="84"/>
      <c r="AB422" s="84"/>
      <c r="AC422" s="92" t="s">
        <v>1497</v>
      </c>
      <c r="AD422" s="84"/>
      <c r="AE422" s="84" t="b">
        <v>0</v>
      </c>
      <c r="AF422" s="84">
        <v>16</v>
      </c>
      <c r="AG422" s="92" t="s">
        <v>1724</v>
      </c>
      <c r="AH422" s="84" t="b">
        <v>0</v>
      </c>
      <c r="AI422" s="84" t="s">
        <v>1750</v>
      </c>
      <c r="AJ422" s="84"/>
      <c r="AK422" s="92" t="s">
        <v>1724</v>
      </c>
      <c r="AL422" s="84" t="b">
        <v>0</v>
      </c>
      <c r="AM422" s="84">
        <v>0</v>
      </c>
      <c r="AN422" s="92" t="s">
        <v>1724</v>
      </c>
      <c r="AO422" s="84" t="s">
        <v>1763</v>
      </c>
      <c r="AP422" s="84" t="b">
        <v>0</v>
      </c>
      <c r="AQ422" s="92" t="s">
        <v>1497</v>
      </c>
      <c r="AR422" s="84" t="s">
        <v>179</v>
      </c>
      <c r="AS422" s="84">
        <v>0</v>
      </c>
      <c r="AT422" s="84">
        <v>0</v>
      </c>
      <c r="AU422" s="84"/>
      <c r="AV422" s="84"/>
      <c r="AW422" s="84"/>
      <c r="AX422" s="84"/>
      <c r="AY422" s="84"/>
      <c r="AZ422" s="84"/>
      <c r="BA422" s="84"/>
      <c r="BB422" s="84"/>
    </row>
    <row r="423" spans="1:54" x14ac:dyDescent="0.2">
      <c r="A423" s="69" t="s">
        <v>400</v>
      </c>
      <c r="B423" s="69" t="s">
        <v>400</v>
      </c>
      <c r="C423" s="70"/>
      <c r="D423" s="71"/>
      <c r="E423" s="72"/>
      <c r="F423" s="73"/>
      <c r="G423" s="70"/>
      <c r="H423" s="74"/>
      <c r="I423" s="75"/>
      <c r="J423" s="75"/>
      <c r="K423" s="36"/>
      <c r="L423" s="82"/>
      <c r="M423" s="82"/>
      <c r="N423" s="77"/>
      <c r="O423" s="84" t="s">
        <v>179</v>
      </c>
      <c r="P423" s="86">
        <v>44017.896192129629</v>
      </c>
      <c r="Q423" s="84" t="s">
        <v>586</v>
      </c>
      <c r="R423" s="87" t="str">
        <f>HYPERLINK("https://m.facebook.com/anunknownkraftsman")</f>
        <v>https://m.facebook.com/anunknownkraftsman</v>
      </c>
      <c r="S423" s="84" t="s">
        <v>772</v>
      </c>
      <c r="T423" s="84" t="s">
        <v>842</v>
      </c>
      <c r="U423" s="84"/>
      <c r="V423" s="87" t="str">
        <f>HYPERLINK("http://pbs.twimg.com/profile_images/1142556013167632391/vMubfzN-_normal.jpg")</f>
        <v>http://pbs.twimg.com/profile_images/1142556013167632391/vMubfzN-_normal.jpg</v>
      </c>
      <c r="W423" s="86">
        <v>44017.896192129629</v>
      </c>
      <c r="X423" s="90">
        <v>44017</v>
      </c>
      <c r="Y423" s="92" t="s">
        <v>1130</v>
      </c>
      <c r="Z423" s="87" t="str">
        <f>HYPERLINK("https://twitter.com/hc_mmoor1868/status/1279890427802464256")</f>
        <v>https://twitter.com/hc_mmoor1868/status/1279890427802464256</v>
      </c>
      <c r="AA423" s="84"/>
      <c r="AB423" s="84"/>
      <c r="AC423" s="92" t="s">
        <v>1549</v>
      </c>
      <c r="AD423" s="84"/>
      <c r="AE423" s="84" t="b">
        <v>0</v>
      </c>
      <c r="AF423" s="84">
        <v>0</v>
      </c>
      <c r="AG423" s="92" t="s">
        <v>1724</v>
      </c>
      <c r="AH423" s="84" t="b">
        <v>0</v>
      </c>
      <c r="AI423" s="84" t="s">
        <v>1751</v>
      </c>
      <c r="AJ423" s="84"/>
      <c r="AK423" s="92" t="s">
        <v>1724</v>
      </c>
      <c r="AL423" s="84" t="b">
        <v>0</v>
      </c>
      <c r="AM423" s="84">
        <v>0</v>
      </c>
      <c r="AN423" s="92" t="s">
        <v>1724</v>
      </c>
      <c r="AO423" s="84" t="s">
        <v>1783</v>
      </c>
      <c r="AP423" s="84" t="b">
        <v>0</v>
      </c>
      <c r="AQ423" s="92" t="s">
        <v>1549</v>
      </c>
      <c r="AR423" s="84" t="s">
        <v>179</v>
      </c>
      <c r="AS423" s="84">
        <v>0</v>
      </c>
      <c r="AT423" s="84">
        <v>0</v>
      </c>
      <c r="AU423" s="84"/>
      <c r="AV423" s="84"/>
      <c r="AW423" s="84"/>
      <c r="AX423" s="84"/>
      <c r="AY423" s="84"/>
      <c r="AZ423" s="84"/>
      <c r="BA423" s="84"/>
      <c r="BB423" s="84"/>
    </row>
    <row r="424" spans="1:54" x14ac:dyDescent="0.2">
      <c r="A424" s="69" t="s">
        <v>357</v>
      </c>
      <c r="B424" s="69" t="s">
        <v>409</v>
      </c>
      <c r="C424" s="70"/>
      <c r="D424" s="71"/>
      <c r="E424" s="72"/>
      <c r="F424" s="73"/>
      <c r="G424" s="70"/>
      <c r="H424" s="74"/>
      <c r="I424" s="75"/>
      <c r="J424" s="75"/>
      <c r="K424" s="36"/>
      <c r="L424" s="82"/>
      <c r="M424" s="82"/>
      <c r="N424" s="77"/>
      <c r="O424" s="84" t="s">
        <v>500</v>
      </c>
      <c r="P424" s="86">
        <v>44017.861111111109</v>
      </c>
      <c r="Q424" s="84" t="s">
        <v>522</v>
      </c>
      <c r="R424" s="84"/>
      <c r="S424" s="84"/>
      <c r="T424" s="84"/>
      <c r="U424" s="84"/>
      <c r="V424" s="87" t="str">
        <f>HYPERLINK("http://pbs.twimg.com/profile_images/914368413673259009/gmggw-BO_normal.jpg")</f>
        <v>http://pbs.twimg.com/profile_images/914368413673259009/gmggw-BO_normal.jpg</v>
      </c>
      <c r="W424" s="86">
        <v>44017.861111111109</v>
      </c>
      <c r="X424" s="90">
        <v>44017</v>
      </c>
      <c r="Y424" s="92" t="s">
        <v>1067</v>
      </c>
      <c r="Z424" s="87" t="str">
        <f>HYPERLINK("https://twitter.com/magicalthorn/status/1279877711570145283")</f>
        <v>https://twitter.com/magicalthorn/status/1279877711570145283</v>
      </c>
      <c r="AA424" s="84"/>
      <c r="AB424" s="84"/>
      <c r="AC424" s="92" t="s">
        <v>1486</v>
      </c>
      <c r="AD424" s="84"/>
      <c r="AE424" s="84" t="b">
        <v>0</v>
      </c>
      <c r="AF424" s="84">
        <v>0</v>
      </c>
      <c r="AG424" s="92" t="s">
        <v>1724</v>
      </c>
      <c r="AH424" s="84" t="b">
        <v>0</v>
      </c>
      <c r="AI424" s="84" t="s">
        <v>1750</v>
      </c>
      <c r="AJ424" s="84"/>
      <c r="AK424" s="92" t="s">
        <v>1724</v>
      </c>
      <c r="AL424" s="84" t="b">
        <v>0</v>
      </c>
      <c r="AM424" s="84">
        <v>2</v>
      </c>
      <c r="AN424" s="92" t="s">
        <v>1582</v>
      </c>
      <c r="AO424" s="84" t="s">
        <v>1766</v>
      </c>
      <c r="AP424" s="84" t="b">
        <v>0</v>
      </c>
      <c r="AQ424" s="92" t="s">
        <v>1582</v>
      </c>
      <c r="AR424" s="84" t="s">
        <v>179</v>
      </c>
      <c r="AS424" s="84">
        <v>0</v>
      </c>
      <c r="AT424" s="84">
        <v>0</v>
      </c>
      <c r="AU424" s="84"/>
      <c r="AV424" s="84"/>
      <c r="AW424" s="84"/>
      <c r="AX424" s="84"/>
      <c r="AY424" s="84"/>
      <c r="AZ424" s="84"/>
      <c r="BA424" s="84"/>
      <c r="BB424" s="84"/>
    </row>
    <row r="425" spans="1:54" x14ac:dyDescent="0.2">
      <c r="A425" s="69" t="s">
        <v>400</v>
      </c>
      <c r="B425" s="69" t="s">
        <v>400</v>
      </c>
      <c r="C425" s="70"/>
      <c r="D425" s="71"/>
      <c r="E425" s="72"/>
      <c r="F425" s="73"/>
      <c r="G425" s="70"/>
      <c r="H425" s="74"/>
      <c r="I425" s="75"/>
      <c r="J425" s="75"/>
      <c r="K425" s="36"/>
      <c r="L425" s="82"/>
      <c r="M425" s="82"/>
      <c r="N425" s="77"/>
      <c r="O425" s="84" t="s">
        <v>179</v>
      </c>
      <c r="P425" s="86">
        <v>44017.854247685187</v>
      </c>
      <c r="Q425" s="84" t="s">
        <v>688</v>
      </c>
      <c r="R425" s="87" t="str">
        <f>HYPERLINK("https://m.facebook.com/anunknownkraftsman")</f>
        <v>https://m.facebook.com/anunknownkraftsman</v>
      </c>
      <c r="S425" s="84" t="s">
        <v>772</v>
      </c>
      <c r="T425" s="84" t="s">
        <v>842</v>
      </c>
      <c r="U425" s="84"/>
      <c r="V425" s="87" t="str">
        <f>HYPERLINK("http://pbs.twimg.com/profile_images/1142556013167632391/vMubfzN-_normal.jpg")</f>
        <v>http://pbs.twimg.com/profile_images/1142556013167632391/vMubfzN-_normal.jpg</v>
      </c>
      <c r="W425" s="86">
        <v>44017.854247685187</v>
      </c>
      <c r="X425" s="90">
        <v>44017</v>
      </c>
      <c r="Y425" s="92" t="s">
        <v>1129</v>
      </c>
      <c r="Z425" s="87" t="str">
        <f>HYPERLINK("https://twitter.com/hc_mmoor1868/status/1279875224465371136")</f>
        <v>https://twitter.com/hc_mmoor1868/status/1279875224465371136</v>
      </c>
      <c r="AA425" s="84"/>
      <c r="AB425" s="84"/>
      <c r="AC425" s="92" t="s">
        <v>1548</v>
      </c>
      <c r="AD425" s="84"/>
      <c r="AE425" s="84" t="b">
        <v>0</v>
      </c>
      <c r="AF425" s="84">
        <v>0</v>
      </c>
      <c r="AG425" s="92" t="s">
        <v>1724</v>
      </c>
      <c r="AH425" s="84" t="b">
        <v>0</v>
      </c>
      <c r="AI425" s="84" t="s">
        <v>1751</v>
      </c>
      <c r="AJ425" s="84"/>
      <c r="AK425" s="92" t="s">
        <v>1724</v>
      </c>
      <c r="AL425" s="84" t="b">
        <v>0</v>
      </c>
      <c r="AM425" s="84">
        <v>0</v>
      </c>
      <c r="AN425" s="92" t="s">
        <v>1724</v>
      </c>
      <c r="AO425" s="84" t="s">
        <v>1783</v>
      </c>
      <c r="AP425" s="84" t="b">
        <v>0</v>
      </c>
      <c r="AQ425" s="92" t="s">
        <v>1548</v>
      </c>
      <c r="AR425" s="84" t="s">
        <v>179</v>
      </c>
      <c r="AS425" s="84">
        <v>0</v>
      </c>
      <c r="AT425" s="84">
        <v>0</v>
      </c>
      <c r="AU425" s="84"/>
      <c r="AV425" s="84"/>
      <c r="AW425" s="84"/>
      <c r="AX425" s="84"/>
      <c r="AY425" s="84"/>
      <c r="AZ425" s="84"/>
      <c r="BA425" s="84"/>
      <c r="BB425" s="84"/>
    </row>
    <row r="426" spans="1:54" x14ac:dyDescent="0.2">
      <c r="A426" s="69" t="s">
        <v>241</v>
      </c>
      <c r="B426" s="69" t="s">
        <v>241</v>
      </c>
      <c r="C426" s="70"/>
      <c r="D426" s="71"/>
      <c r="E426" s="72"/>
      <c r="F426" s="73"/>
      <c r="G426" s="70"/>
      <c r="H426" s="74"/>
      <c r="I426" s="75"/>
      <c r="J426" s="75"/>
      <c r="K426" s="36"/>
      <c r="L426" s="82"/>
      <c r="M426" s="82"/>
      <c r="N426" s="77"/>
      <c r="O426" s="84" t="s">
        <v>179</v>
      </c>
      <c r="P426" s="86">
        <v>44017.741423611114</v>
      </c>
      <c r="Q426" s="84" t="s">
        <v>525</v>
      </c>
      <c r="R426" s="84"/>
      <c r="S426" s="84"/>
      <c r="T426" s="84" t="s">
        <v>789</v>
      </c>
      <c r="U426" s="87" t="str">
        <f>HYPERLINK("https://pbs.twimg.com/media/EcLiYxLWoAAOIQZ.jpg")</f>
        <v>https://pbs.twimg.com/media/EcLiYxLWoAAOIQZ.jpg</v>
      </c>
      <c r="V426" s="87" t="str">
        <f>HYPERLINK("https://pbs.twimg.com/media/EcLiYxLWoAAOIQZ.jpg")</f>
        <v>https://pbs.twimg.com/media/EcLiYxLWoAAOIQZ.jpg</v>
      </c>
      <c r="W426" s="86">
        <v>44017.741423611114</v>
      </c>
      <c r="X426" s="90">
        <v>44017</v>
      </c>
      <c r="Y426" s="92" t="s">
        <v>888</v>
      </c>
      <c r="Z426" s="87" t="str">
        <f>HYPERLINK("https://twitter.com/_lipematheus/status/1279834341514842118")</f>
        <v>https://twitter.com/_lipematheus/status/1279834341514842118</v>
      </c>
      <c r="AA426" s="84"/>
      <c r="AB426" s="84"/>
      <c r="AC426" s="92" t="s">
        <v>1307</v>
      </c>
      <c r="AD426" s="84"/>
      <c r="AE426" s="84" t="b">
        <v>0</v>
      </c>
      <c r="AF426" s="84">
        <v>0</v>
      </c>
      <c r="AG426" s="92" t="s">
        <v>1724</v>
      </c>
      <c r="AH426" s="84" t="b">
        <v>0</v>
      </c>
      <c r="AI426" s="84" t="s">
        <v>1753</v>
      </c>
      <c r="AJ426" s="84"/>
      <c r="AK426" s="92" t="s">
        <v>1724</v>
      </c>
      <c r="AL426" s="84" t="b">
        <v>0</v>
      </c>
      <c r="AM426" s="84">
        <v>0</v>
      </c>
      <c r="AN426" s="92" t="s">
        <v>1724</v>
      </c>
      <c r="AO426" s="84" t="s">
        <v>1766</v>
      </c>
      <c r="AP426" s="84" t="b">
        <v>0</v>
      </c>
      <c r="AQ426" s="92" t="s">
        <v>1307</v>
      </c>
      <c r="AR426" s="84" t="s">
        <v>179</v>
      </c>
      <c r="AS426" s="84">
        <v>0</v>
      </c>
      <c r="AT426" s="84">
        <v>0</v>
      </c>
      <c r="AU426" s="84"/>
      <c r="AV426" s="84"/>
      <c r="AW426" s="84"/>
      <c r="AX426" s="84"/>
      <c r="AY426" s="84"/>
      <c r="AZ426" s="84"/>
      <c r="BA426" s="84"/>
      <c r="BB426" s="84"/>
    </row>
    <row r="427" spans="1:54" x14ac:dyDescent="0.2">
      <c r="A427" s="69" t="s">
        <v>240</v>
      </c>
      <c r="B427" s="69" t="s">
        <v>240</v>
      </c>
      <c r="C427" s="70"/>
      <c r="D427" s="71"/>
      <c r="E427" s="72"/>
      <c r="F427" s="73"/>
      <c r="G427" s="70"/>
      <c r="H427" s="74"/>
      <c r="I427" s="75"/>
      <c r="J427" s="75"/>
      <c r="K427" s="36"/>
      <c r="L427" s="82"/>
      <c r="M427" s="82"/>
      <c r="N427" s="77"/>
      <c r="O427" s="84" t="s">
        <v>179</v>
      </c>
      <c r="P427" s="86">
        <v>44017.714120370372</v>
      </c>
      <c r="Q427" s="84" t="s">
        <v>523</v>
      </c>
      <c r="R427" s="84"/>
      <c r="S427" s="84"/>
      <c r="T427" s="84" t="s">
        <v>787</v>
      </c>
      <c r="U427" s="84"/>
      <c r="V427" s="87" t="str">
        <f>HYPERLINK("http://pbs.twimg.com/profile_images/1272517107574587392/ihjBKdaT_normal.jpg")</f>
        <v>http://pbs.twimg.com/profile_images/1272517107574587392/ihjBKdaT_normal.jpg</v>
      </c>
      <c r="W427" s="86">
        <v>44017.714120370372</v>
      </c>
      <c r="X427" s="90">
        <v>44017</v>
      </c>
      <c r="Y427" s="92" t="s">
        <v>886</v>
      </c>
      <c r="Z427" s="87" t="str">
        <f>HYPERLINK("https://twitter.com/carolsierra12/status/1279824445411123201")</f>
        <v>https://twitter.com/carolsierra12/status/1279824445411123201</v>
      </c>
      <c r="AA427" s="84"/>
      <c r="AB427" s="84"/>
      <c r="AC427" s="92" t="s">
        <v>1305</v>
      </c>
      <c r="AD427" s="84"/>
      <c r="AE427" s="84" t="b">
        <v>0</v>
      </c>
      <c r="AF427" s="84">
        <v>0</v>
      </c>
      <c r="AG427" s="92" t="s">
        <v>1724</v>
      </c>
      <c r="AH427" s="84" t="b">
        <v>0</v>
      </c>
      <c r="AI427" s="84" t="s">
        <v>1751</v>
      </c>
      <c r="AJ427" s="84"/>
      <c r="AK427" s="92" t="s">
        <v>1724</v>
      </c>
      <c r="AL427" s="84" t="b">
        <v>0</v>
      </c>
      <c r="AM427" s="84">
        <v>0</v>
      </c>
      <c r="AN427" s="92" t="s">
        <v>1724</v>
      </c>
      <c r="AO427" s="84" t="s">
        <v>1763</v>
      </c>
      <c r="AP427" s="84" t="b">
        <v>0</v>
      </c>
      <c r="AQ427" s="92" t="s">
        <v>1305</v>
      </c>
      <c r="AR427" s="84" t="s">
        <v>179</v>
      </c>
      <c r="AS427" s="84">
        <v>0</v>
      </c>
      <c r="AT427" s="84">
        <v>0</v>
      </c>
      <c r="AU427" s="84"/>
      <c r="AV427" s="84"/>
      <c r="AW427" s="84"/>
      <c r="AX427" s="84"/>
      <c r="AY427" s="84"/>
      <c r="AZ427" s="84"/>
      <c r="BA427" s="84"/>
      <c r="BB427" s="84"/>
    </row>
    <row r="428" spans="1:54" x14ac:dyDescent="0.2">
      <c r="A428" s="69" t="s">
        <v>241</v>
      </c>
      <c r="B428" s="69" t="s">
        <v>241</v>
      </c>
      <c r="C428" s="70"/>
      <c r="D428" s="71"/>
      <c r="E428" s="72"/>
      <c r="F428" s="73"/>
      <c r="G428" s="70"/>
      <c r="H428" s="74"/>
      <c r="I428" s="75"/>
      <c r="J428" s="75"/>
      <c r="K428" s="36"/>
      <c r="L428" s="82"/>
      <c r="M428" s="82"/>
      <c r="N428" s="77"/>
      <c r="O428" s="84" t="s">
        <v>179</v>
      </c>
      <c r="P428" s="86">
        <v>44017.701238425929</v>
      </c>
      <c r="Q428" s="84" t="s">
        <v>524</v>
      </c>
      <c r="R428" s="84"/>
      <c r="S428" s="84"/>
      <c r="T428" s="84" t="s">
        <v>788</v>
      </c>
      <c r="U428" s="87" t="str">
        <f>HYPERLINK("https://pbs.twimg.com/media/EcLVS9KXkAUkxMi.jpg")</f>
        <v>https://pbs.twimg.com/media/EcLVS9KXkAUkxMi.jpg</v>
      </c>
      <c r="V428" s="87" t="str">
        <f>HYPERLINK("https://pbs.twimg.com/media/EcLVS9KXkAUkxMi.jpg")</f>
        <v>https://pbs.twimg.com/media/EcLVS9KXkAUkxMi.jpg</v>
      </c>
      <c r="W428" s="86">
        <v>44017.701238425929</v>
      </c>
      <c r="X428" s="90">
        <v>44017</v>
      </c>
      <c r="Y428" s="92" t="s">
        <v>887</v>
      </c>
      <c r="Z428" s="87" t="str">
        <f>HYPERLINK("https://twitter.com/_lipematheus/status/1279819776714555393")</f>
        <v>https://twitter.com/_lipematheus/status/1279819776714555393</v>
      </c>
      <c r="AA428" s="84"/>
      <c r="AB428" s="84"/>
      <c r="AC428" s="92" t="s">
        <v>1306</v>
      </c>
      <c r="AD428" s="84"/>
      <c r="AE428" s="84" t="b">
        <v>0</v>
      </c>
      <c r="AF428" s="84">
        <v>2</v>
      </c>
      <c r="AG428" s="92" t="s">
        <v>1724</v>
      </c>
      <c r="AH428" s="84" t="b">
        <v>0</v>
      </c>
      <c r="AI428" s="84" t="s">
        <v>1749</v>
      </c>
      <c r="AJ428" s="84"/>
      <c r="AK428" s="92" t="s">
        <v>1724</v>
      </c>
      <c r="AL428" s="84" t="b">
        <v>0</v>
      </c>
      <c r="AM428" s="84">
        <v>0</v>
      </c>
      <c r="AN428" s="92" t="s">
        <v>1724</v>
      </c>
      <c r="AO428" s="84" t="s">
        <v>1764</v>
      </c>
      <c r="AP428" s="84" t="b">
        <v>0</v>
      </c>
      <c r="AQ428" s="92" t="s">
        <v>1306</v>
      </c>
      <c r="AR428" s="84" t="s">
        <v>179</v>
      </c>
      <c r="AS428" s="84">
        <v>0</v>
      </c>
      <c r="AT428" s="84">
        <v>0</v>
      </c>
      <c r="AU428" s="84"/>
      <c r="AV428" s="84"/>
      <c r="AW428" s="84"/>
      <c r="AX428" s="84"/>
      <c r="AY428" s="84"/>
      <c r="AZ428" s="84"/>
      <c r="BA428" s="84"/>
      <c r="BB428" s="84"/>
    </row>
    <row r="429" spans="1:54" x14ac:dyDescent="0.2">
      <c r="A429" s="69" t="s">
        <v>239</v>
      </c>
      <c r="B429" s="69" t="s">
        <v>409</v>
      </c>
      <c r="C429" s="70"/>
      <c r="D429" s="71"/>
      <c r="E429" s="72"/>
      <c r="F429" s="73"/>
      <c r="G429" s="70"/>
      <c r="H429" s="74"/>
      <c r="I429" s="75"/>
      <c r="J429" s="75"/>
      <c r="K429" s="36"/>
      <c r="L429" s="82"/>
      <c r="M429" s="82"/>
      <c r="N429" s="77"/>
      <c r="O429" s="84" t="s">
        <v>500</v>
      </c>
      <c r="P429" s="86">
        <v>44017.664942129632</v>
      </c>
      <c r="Q429" s="84" t="s">
        <v>522</v>
      </c>
      <c r="R429" s="84"/>
      <c r="S429" s="84"/>
      <c r="T429" s="84"/>
      <c r="U429" s="84"/>
      <c r="V429" s="87" t="str">
        <f>HYPERLINK("http://pbs.twimg.com/profile_images/1097394491567235072/UioqA4TG_normal.png")</f>
        <v>http://pbs.twimg.com/profile_images/1097394491567235072/UioqA4TG_normal.png</v>
      </c>
      <c r="W429" s="86">
        <v>44017.664942129632</v>
      </c>
      <c r="X429" s="90">
        <v>44017</v>
      </c>
      <c r="Y429" s="92" t="s">
        <v>885</v>
      </c>
      <c r="Z429" s="87" t="str">
        <f>HYPERLINK("https://twitter.com/leon30006310/status/1279806624165552129")</f>
        <v>https://twitter.com/leon30006310/status/1279806624165552129</v>
      </c>
      <c r="AA429" s="84"/>
      <c r="AB429" s="84"/>
      <c r="AC429" s="92" t="s">
        <v>1304</v>
      </c>
      <c r="AD429" s="84"/>
      <c r="AE429" s="84" t="b">
        <v>0</v>
      </c>
      <c r="AF429" s="84">
        <v>0</v>
      </c>
      <c r="AG429" s="92" t="s">
        <v>1724</v>
      </c>
      <c r="AH429" s="84" t="b">
        <v>0</v>
      </c>
      <c r="AI429" s="84" t="s">
        <v>1750</v>
      </c>
      <c r="AJ429" s="84"/>
      <c r="AK429" s="92" t="s">
        <v>1724</v>
      </c>
      <c r="AL429" s="84" t="b">
        <v>0</v>
      </c>
      <c r="AM429" s="84">
        <v>2</v>
      </c>
      <c r="AN429" s="92" t="s">
        <v>1582</v>
      </c>
      <c r="AO429" s="84" t="s">
        <v>1763</v>
      </c>
      <c r="AP429" s="84" t="b">
        <v>0</v>
      </c>
      <c r="AQ429" s="92" t="s">
        <v>1582</v>
      </c>
      <c r="AR429" s="84" t="s">
        <v>179</v>
      </c>
      <c r="AS429" s="84">
        <v>0</v>
      </c>
      <c r="AT429" s="84">
        <v>0</v>
      </c>
      <c r="AU429" s="84"/>
      <c r="AV429" s="84"/>
      <c r="AW429" s="84"/>
      <c r="AX429" s="84"/>
      <c r="AY429" s="84"/>
      <c r="AZ429" s="84"/>
      <c r="BA429" s="84"/>
      <c r="BB429" s="84"/>
    </row>
    <row r="430" spans="1:54" x14ac:dyDescent="0.2">
      <c r="A430" s="69" t="s">
        <v>314</v>
      </c>
      <c r="B430" s="69" t="s">
        <v>314</v>
      </c>
      <c r="C430" s="70"/>
      <c r="D430" s="71"/>
      <c r="E430" s="72"/>
      <c r="F430" s="73"/>
      <c r="G430" s="70"/>
      <c r="H430" s="74"/>
      <c r="I430" s="75"/>
      <c r="J430" s="75"/>
      <c r="K430" s="36"/>
      <c r="L430" s="82"/>
      <c r="M430" s="82"/>
      <c r="N430" s="77"/>
      <c r="O430" s="84" t="s">
        <v>179</v>
      </c>
      <c r="P430" s="86">
        <v>44017.66034722222</v>
      </c>
      <c r="Q430" s="84" t="s">
        <v>596</v>
      </c>
      <c r="R430" s="84"/>
      <c r="S430" s="84"/>
      <c r="T430" s="84" t="s">
        <v>820</v>
      </c>
      <c r="U430" s="87" t="str">
        <f>HYPERLINK("https://pbs.twimg.com/media/EcLH0yTUEAAV1Qm.jpg")</f>
        <v>https://pbs.twimg.com/media/EcLH0yTUEAAV1Qm.jpg</v>
      </c>
      <c r="V430" s="87" t="str">
        <f>HYPERLINK("https://pbs.twimg.com/media/EcLH0yTUEAAV1Qm.jpg")</f>
        <v>https://pbs.twimg.com/media/EcLH0yTUEAAV1Qm.jpg</v>
      </c>
      <c r="W430" s="86">
        <v>44017.66034722222</v>
      </c>
      <c r="X430" s="90">
        <v>44017</v>
      </c>
      <c r="Y430" s="92" t="s">
        <v>983</v>
      </c>
      <c r="Z430" s="87" t="str">
        <f>HYPERLINK("https://twitter.com/coolportraitgil/status/1279804960033476609")</f>
        <v>https://twitter.com/coolportraitgil/status/1279804960033476609</v>
      </c>
      <c r="AA430" s="84"/>
      <c r="AB430" s="84"/>
      <c r="AC430" s="92" t="s">
        <v>1402</v>
      </c>
      <c r="AD430" s="84"/>
      <c r="AE430" s="84" t="b">
        <v>0</v>
      </c>
      <c r="AF430" s="84">
        <v>0</v>
      </c>
      <c r="AG430" s="92" t="s">
        <v>1724</v>
      </c>
      <c r="AH430" s="84" t="b">
        <v>0</v>
      </c>
      <c r="AI430" s="84" t="s">
        <v>1750</v>
      </c>
      <c r="AJ430" s="84"/>
      <c r="AK430" s="92" t="s">
        <v>1724</v>
      </c>
      <c r="AL430" s="84" t="b">
        <v>0</v>
      </c>
      <c r="AM430" s="84">
        <v>0</v>
      </c>
      <c r="AN430" s="92" t="s">
        <v>1724</v>
      </c>
      <c r="AO430" s="84" t="s">
        <v>1763</v>
      </c>
      <c r="AP430" s="84" t="b">
        <v>0</v>
      </c>
      <c r="AQ430" s="92" t="s">
        <v>1402</v>
      </c>
      <c r="AR430" s="84" t="s">
        <v>179</v>
      </c>
      <c r="AS430" s="84">
        <v>0</v>
      </c>
      <c r="AT430" s="84">
        <v>0</v>
      </c>
      <c r="AU430" s="84"/>
      <c r="AV430" s="84"/>
      <c r="AW430" s="84"/>
      <c r="AX430" s="84"/>
      <c r="AY430" s="84"/>
      <c r="AZ430" s="84"/>
      <c r="BA430" s="84"/>
      <c r="BB430" s="84"/>
    </row>
    <row r="431" spans="1:54" x14ac:dyDescent="0.2">
      <c r="A431" s="69" t="s">
        <v>246</v>
      </c>
      <c r="B431" s="69" t="s">
        <v>246</v>
      </c>
      <c r="C431" s="70"/>
      <c r="D431" s="71"/>
      <c r="E431" s="72"/>
      <c r="F431" s="73"/>
      <c r="G431" s="70"/>
      <c r="H431" s="74"/>
      <c r="I431" s="75"/>
      <c r="J431" s="75"/>
      <c r="K431" s="36"/>
      <c r="L431" s="82"/>
      <c r="M431" s="82"/>
      <c r="N431" s="77"/>
      <c r="O431" s="84" t="s">
        <v>179</v>
      </c>
      <c r="P431" s="86">
        <v>44017.645613425928</v>
      </c>
      <c r="Q431" s="84" t="s">
        <v>534</v>
      </c>
      <c r="R431" s="84"/>
      <c r="S431" s="84"/>
      <c r="T431" s="84" t="s">
        <v>781</v>
      </c>
      <c r="U431" s="84"/>
      <c r="V431" s="87" t="str">
        <f>HYPERLINK("http://abs.twimg.com/sticky/default_profile_images/default_profile_normal.png")</f>
        <v>http://abs.twimg.com/sticky/default_profile_images/default_profile_normal.png</v>
      </c>
      <c r="W431" s="86">
        <v>44017.645613425928</v>
      </c>
      <c r="X431" s="90">
        <v>44017</v>
      </c>
      <c r="Y431" s="92" t="s">
        <v>899</v>
      </c>
      <c r="Z431" s="87" t="str">
        <f>HYPERLINK("https://twitter.com/kokyona/status/1279799621632454658")</f>
        <v>https://twitter.com/kokyona/status/1279799621632454658</v>
      </c>
      <c r="AA431" s="84"/>
      <c r="AB431" s="84"/>
      <c r="AC431" s="92" t="s">
        <v>1318</v>
      </c>
      <c r="AD431" s="92" t="s">
        <v>1317</v>
      </c>
      <c r="AE431" s="84" t="b">
        <v>0</v>
      </c>
      <c r="AF431" s="84">
        <v>0</v>
      </c>
      <c r="AG431" s="92" t="s">
        <v>1726</v>
      </c>
      <c r="AH431" s="84" t="b">
        <v>0</v>
      </c>
      <c r="AI431" s="84" t="s">
        <v>1750</v>
      </c>
      <c r="AJ431" s="84"/>
      <c r="AK431" s="92" t="s">
        <v>1724</v>
      </c>
      <c r="AL431" s="84" t="b">
        <v>0</v>
      </c>
      <c r="AM431" s="84">
        <v>0</v>
      </c>
      <c r="AN431" s="92" t="s">
        <v>1724</v>
      </c>
      <c r="AO431" s="84" t="s">
        <v>1766</v>
      </c>
      <c r="AP431" s="84" t="b">
        <v>0</v>
      </c>
      <c r="AQ431" s="92" t="s">
        <v>1317</v>
      </c>
      <c r="AR431" s="84" t="s">
        <v>179</v>
      </c>
      <c r="AS431" s="84">
        <v>0</v>
      </c>
      <c r="AT431" s="84">
        <v>0</v>
      </c>
      <c r="AU431" s="84"/>
      <c r="AV431" s="84"/>
      <c r="AW431" s="84"/>
      <c r="AX431" s="84"/>
      <c r="AY431" s="84"/>
      <c r="AZ431" s="84"/>
      <c r="BA431" s="84"/>
      <c r="BB431" s="84"/>
    </row>
    <row r="432" spans="1:54" x14ac:dyDescent="0.2">
      <c r="A432" s="69" t="s">
        <v>246</v>
      </c>
      <c r="B432" s="69" t="s">
        <v>246</v>
      </c>
      <c r="C432" s="70"/>
      <c r="D432" s="71"/>
      <c r="E432" s="72"/>
      <c r="F432" s="73"/>
      <c r="G432" s="70"/>
      <c r="H432" s="74"/>
      <c r="I432" s="75"/>
      <c r="J432" s="75"/>
      <c r="K432" s="36"/>
      <c r="L432" s="82"/>
      <c r="M432" s="82"/>
      <c r="N432" s="77"/>
      <c r="O432" s="84" t="s">
        <v>179</v>
      </c>
      <c r="P432" s="86">
        <v>44017.645231481481</v>
      </c>
      <c r="Q432" s="84" t="s">
        <v>533</v>
      </c>
      <c r="R432" s="84"/>
      <c r="S432" s="84"/>
      <c r="T432" s="84" t="s">
        <v>781</v>
      </c>
      <c r="U432" s="84"/>
      <c r="V432" s="87" t="str">
        <f>HYPERLINK("http://abs.twimg.com/sticky/default_profile_images/default_profile_normal.png")</f>
        <v>http://abs.twimg.com/sticky/default_profile_images/default_profile_normal.png</v>
      </c>
      <c r="W432" s="86">
        <v>44017.645231481481</v>
      </c>
      <c r="X432" s="90">
        <v>44017</v>
      </c>
      <c r="Y432" s="92" t="s">
        <v>898</v>
      </c>
      <c r="Z432" s="87" t="str">
        <f>HYPERLINK("https://twitter.com/kokyona/status/1279799480821280769")</f>
        <v>https://twitter.com/kokyona/status/1279799480821280769</v>
      </c>
      <c r="AA432" s="84"/>
      <c r="AB432" s="84"/>
      <c r="AC432" s="92" t="s">
        <v>1317</v>
      </c>
      <c r="AD432" s="92" t="s">
        <v>1316</v>
      </c>
      <c r="AE432" s="84" t="b">
        <v>0</v>
      </c>
      <c r="AF432" s="84">
        <v>0</v>
      </c>
      <c r="AG432" s="92" t="s">
        <v>1726</v>
      </c>
      <c r="AH432" s="84" t="b">
        <v>0</v>
      </c>
      <c r="AI432" s="84" t="s">
        <v>1750</v>
      </c>
      <c r="AJ432" s="84"/>
      <c r="AK432" s="92" t="s">
        <v>1724</v>
      </c>
      <c r="AL432" s="84" t="b">
        <v>0</v>
      </c>
      <c r="AM432" s="84">
        <v>0</v>
      </c>
      <c r="AN432" s="92" t="s">
        <v>1724</v>
      </c>
      <c r="AO432" s="84" t="s">
        <v>1766</v>
      </c>
      <c r="AP432" s="84" t="b">
        <v>0</v>
      </c>
      <c r="AQ432" s="92" t="s">
        <v>1316</v>
      </c>
      <c r="AR432" s="84" t="s">
        <v>179</v>
      </c>
      <c r="AS432" s="84">
        <v>0</v>
      </c>
      <c r="AT432" s="84">
        <v>0</v>
      </c>
      <c r="AU432" s="84"/>
      <c r="AV432" s="84"/>
      <c r="AW432" s="84"/>
      <c r="AX432" s="84"/>
      <c r="AY432" s="84"/>
      <c r="AZ432" s="84"/>
      <c r="BA432" s="84"/>
      <c r="BB432" s="84"/>
    </row>
    <row r="433" spans="1:54" x14ac:dyDescent="0.2">
      <c r="A433" s="69" t="s">
        <v>246</v>
      </c>
      <c r="B433" s="69" t="s">
        <v>246</v>
      </c>
      <c r="C433" s="70"/>
      <c r="D433" s="71"/>
      <c r="E433" s="72"/>
      <c r="F433" s="73"/>
      <c r="G433" s="70"/>
      <c r="H433" s="74"/>
      <c r="I433" s="75"/>
      <c r="J433" s="75"/>
      <c r="K433" s="36"/>
      <c r="L433" s="82"/>
      <c r="M433" s="82"/>
      <c r="N433" s="77"/>
      <c r="O433" s="84" t="s">
        <v>179</v>
      </c>
      <c r="P433" s="86">
        <v>44017.64271990741</v>
      </c>
      <c r="Q433" s="84" t="s">
        <v>532</v>
      </c>
      <c r="R433" s="87" t="str">
        <f>HYPERLINK("https://ingress.lycaeum.net/2019/11/20191101-0154.html")</f>
        <v>https://ingress.lycaeum.net/2019/11/20191101-0154.html</v>
      </c>
      <c r="S433" s="84" t="s">
        <v>761</v>
      </c>
      <c r="T433" s="84" t="s">
        <v>781</v>
      </c>
      <c r="U433" s="87" t="str">
        <f>HYPERLINK("https://pbs.twimg.com/media/EcLB5eiU0AAX4sv.jpg")</f>
        <v>https://pbs.twimg.com/media/EcLB5eiU0AAX4sv.jpg</v>
      </c>
      <c r="V433" s="87" t="str">
        <f>HYPERLINK("https://pbs.twimg.com/media/EcLB5eiU0AAX4sv.jpg")</f>
        <v>https://pbs.twimg.com/media/EcLB5eiU0AAX4sv.jpg</v>
      </c>
      <c r="W433" s="86">
        <v>44017.64271990741</v>
      </c>
      <c r="X433" s="90">
        <v>44017</v>
      </c>
      <c r="Y433" s="92" t="s">
        <v>897</v>
      </c>
      <c r="Z433" s="87" t="str">
        <f>HYPERLINK("https://twitter.com/kokyona/status/1279798572871856128")</f>
        <v>https://twitter.com/kokyona/status/1279798572871856128</v>
      </c>
      <c r="AA433" s="84"/>
      <c r="AB433" s="84"/>
      <c r="AC433" s="92" t="s">
        <v>1316</v>
      </c>
      <c r="AD433" s="84"/>
      <c r="AE433" s="84" t="b">
        <v>0</v>
      </c>
      <c r="AF433" s="84">
        <v>0</v>
      </c>
      <c r="AG433" s="92" t="s">
        <v>1724</v>
      </c>
      <c r="AH433" s="84" t="b">
        <v>0</v>
      </c>
      <c r="AI433" s="84" t="s">
        <v>1750</v>
      </c>
      <c r="AJ433" s="84"/>
      <c r="AK433" s="92" t="s">
        <v>1724</v>
      </c>
      <c r="AL433" s="84" t="b">
        <v>0</v>
      </c>
      <c r="AM433" s="84">
        <v>0</v>
      </c>
      <c r="AN433" s="92" t="s">
        <v>1724</v>
      </c>
      <c r="AO433" s="84" t="s">
        <v>1766</v>
      </c>
      <c r="AP433" s="84" t="b">
        <v>0</v>
      </c>
      <c r="AQ433" s="92" t="s">
        <v>1316</v>
      </c>
      <c r="AR433" s="84" t="s">
        <v>179</v>
      </c>
      <c r="AS433" s="84">
        <v>0</v>
      </c>
      <c r="AT433" s="84">
        <v>0</v>
      </c>
      <c r="AU433" s="84"/>
      <c r="AV433" s="84"/>
      <c r="AW433" s="84"/>
      <c r="AX433" s="84"/>
      <c r="AY433" s="84"/>
      <c r="AZ433" s="84"/>
      <c r="BA433" s="84"/>
      <c r="BB433" s="84"/>
    </row>
    <row r="434" spans="1:54" x14ac:dyDescent="0.2">
      <c r="A434" s="69" t="s">
        <v>246</v>
      </c>
      <c r="B434" s="69" t="s">
        <v>246</v>
      </c>
      <c r="C434" s="70"/>
      <c r="D434" s="71"/>
      <c r="E434" s="72"/>
      <c r="F434" s="73"/>
      <c r="G434" s="70"/>
      <c r="H434" s="74"/>
      <c r="I434" s="75"/>
      <c r="J434" s="75"/>
      <c r="K434" s="36"/>
      <c r="L434" s="82"/>
      <c r="M434" s="82"/>
      <c r="N434" s="77"/>
      <c r="O434" s="84" t="s">
        <v>179</v>
      </c>
      <c r="P434" s="86">
        <v>44017.635625000003</v>
      </c>
      <c r="Q434" s="84" t="s">
        <v>531</v>
      </c>
      <c r="R434" s="87" t="str">
        <f>HYPERLINK("https://ingress.lycaeum.net/2020/03/20200331-0928.html")</f>
        <v>https://ingress.lycaeum.net/2020/03/20200331-0928.html</v>
      </c>
      <c r="S434" s="84" t="s">
        <v>761</v>
      </c>
      <c r="T434" s="84" t="s">
        <v>781</v>
      </c>
      <c r="U434" s="87" t="str">
        <f>HYPERLINK("https://pbs.twimg.com/media/EcK-2aVVAAEQd1_.jpg")</f>
        <v>https://pbs.twimg.com/media/EcK-2aVVAAEQd1_.jpg</v>
      </c>
      <c r="V434" s="87" t="str">
        <f>HYPERLINK("https://pbs.twimg.com/media/EcK-2aVVAAEQd1_.jpg")</f>
        <v>https://pbs.twimg.com/media/EcK-2aVVAAEQd1_.jpg</v>
      </c>
      <c r="W434" s="86">
        <v>44017.635625000003</v>
      </c>
      <c r="X434" s="90">
        <v>44017</v>
      </c>
      <c r="Y434" s="92" t="s">
        <v>896</v>
      </c>
      <c r="Z434" s="87" t="str">
        <f>HYPERLINK("https://twitter.com/kokyona/status/1279795999246934017")</f>
        <v>https://twitter.com/kokyona/status/1279795999246934017</v>
      </c>
      <c r="AA434" s="84"/>
      <c r="AB434" s="84"/>
      <c r="AC434" s="92" t="s">
        <v>1315</v>
      </c>
      <c r="AD434" s="84"/>
      <c r="AE434" s="84" t="b">
        <v>0</v>
      </c>
      <c r="AF434" s="84">
        <v>0</v>
      </c>
      <c r="AG434" s="92" t="s">
        <v>1724</v>
      </c>
      <c r="AH434" s="84" t="b">
        <v>0</v>
      </c>
      <c r="AI434" s="84" t="s">
        <v>1750</v>
      </c>
      <c r="AJ434" s="84"/>
      <c r="AK434" s="92" t="s">
        <v>1724</v>
      </c>
      <c r="AL434" s="84" t="b">
        <v>0</v>
      </c>
      <c r="AM434" s="84">
        <v>0</v>
      </c>
      <c r="AN434" s="92" t="s">
        <v>1724</v>
      </c>
      <c r="AO434" s="84" t="s">
        <v>1766</v>
      </c>
      <c r="AP434" s="84" t="b">
        <v>0</v>
      </c>
      <c r="AQ434" s="92" t="s">
        <v>1315</v>
      </c>
      <c r="AR434" s="84" t="s">
        <v>179</v>
      </c>
      <c r="AS434" s="84">
        <v>0</v>
      </c>
      <c r="AT434" s="84">
        <v>0</v>
      </c>
      <c r="AU434" s="84"/>
      <c r="AV434" s="84"/>
      <c r="AW434" s="84"/>
      <c r="AX434" s="84"/>
      <c r="AY434" s="84"/>
      <c r="AZ434" s="84"/>
      <c r="BA434" s="84"/>
      <c r="BB434" s="84"/>
    </row>
    <row r="435" spans="1:54" x14ac:dyDescent="0.2">
      <c r="A435" s="69" t="s">
        <v>246</v>
      </c>
      <c r="B435" s="69" t="s">
        <v>246</v>
      </c>
      <c r="C435" s="70"/>
      <c r="D435" s="71"/>
      <c r="E435" s="72"/>
      <c r="F435" s="73"/>
      <c r="G435" s="70"/>
      <c r="H435" s="74"/>
      <c r="I435" s="75"/>
      <c r="J435" s="75"/>
      <c r="K435" s="36"/>
      <c r="L435" s="82"/>
      <c r="M435" s="82"/>
      <c r="N435" s="77"/>
      <c r="O435" s="84" t="s">
        <v>179</v>
      </c>
      <c r="P435" s="86">
        <v>44017.627696759257</v>
      </c>
      <c r="Q435" s="84" t="s">
        <v>530</v>
      </c>
      <c r="R435" s="87" t="str">
        <f>HYPERLINK("https://ingress.lycaeum.net/2020/03/20200328-0933.html")</f>
        <v>https://ingress.lycaeum.net/2020/03/20200328-0933.html</v>
      </c>
      <c r="S435" s="84" t="s">
        <v>761</v>
      </c>
      <c r="T435" s="84" t="s">
        <v>781</v>
      </c>
      <c r="U435" s="84"/>
      <c r="V435" s="87" t="str">
        <f>HYPERLINK("http://abs.twimg.com/sticky/default_profile_images/default_profile_normal.png")</f>
        <v>http://abs.twimg.com/sticky/default_profile_images/default_profile_normal.png</v>
      </c>
      <c r="W435" s="86">
        <v>44017.627696759257</v>
      </c>
      <c r="X435" s="90">
        <v>44017</v>
      </c>
      <c r="Y435" s="92" t="s">
        <v>895</v>
      </c>
      <c r="Z435" s="87" t="str">
        <f>HYPERLINK("https://twitter.com/kokyona/status/1279793128480731141")</f>
        <v>https://twitter.com/kokyona/status/1279793128480731141</v>
      </c>
      <c r="AA435" s="84"/>
      <c r="AB435" s="84"/>
      <c r="AC435" s="92" t="s">
        <v>1314</v>
      </c>
      <c r="AD435" s="84"/>
      <c r="AE435" s="84" t="b">
        <v>0</v>
      </c>
      <c r="AF435" s="84">
        <v>1</v>
      </c>
      <c r="AG435" s="92" t="s">
        <v>1724</v>
      </c>
      <c r="AH435" s="84" t="b">
        <v>0</v>
      </c>
      <c r="AI435" s="84" t="s">
        <v>1750</v>
      </c>
      <c r="AJ435" s="84"/>
      <c r="AK435" s="92" t="s">
        <v>1724</v>
      </c>
      <c r="AL435" s="84" t="b">
        <v>0</v>
      </c>
      <c r="AM435" s="84">
        <v>0</v>
      </c>
      <c r="AN435" s="92" t="s">
        <v>1724</v>
      </c>
      <c r="AO435" s="84" t="s">
        <v>1766</v>
      </c>
      <c r="AP435" s="84" t="b">
        <v>0</v>
      </c>
      <c r="AQ435" s="92" t="s">
        <v>1314</v>
      </c>
      <c r="AR435" s="84" t="s">
        <v>179</v>
      </c>
      <c r="AS435" s="84">
        <v>0</v>
      </c>
      <c r="AT435" s="84">
        <v>0</v>
      </c>
      <c r="AU435" s="84"/>
      <c r="AV435" s="84"/>
      <c r="AW435" s="84"/>
      <c r="AX435" s="84"/>
      <c r="AY435" s="84"/>
      <c r="AZ435" s="84"/>
      <c r="BA435" s="84"/>
      <c r="BB435" s="84"/>
    </row>
    <row r="436" spans="1:54" x14ac:dyDescent="0.2">
      <c r="A436" s="69" t="s">
        <v>410</v>
      </c>
      <c r="B436" s="69" t="s">
        <v>410</v>
      </c>
      <c r="C436" s="70"/>
      <c r="D436" s="71"/>
      <c r="E436" s="72"/>
      <c r="F436" s="73"/>
      <c r="G436" s="70"/>
      <c r="H436" s="74"/>
      <c r="I436" s="75"/>
      <c r="J436" s="75"/>
      <c r="K436" s="36"/>
      <c r="L436" s="82"/>
      <c r="M436" s="82"/>
      <c r="N436" s="77"/>
      <c r="O436" s="84" t="s">
        <v>179</v>
      </c>
      <c r="P436" s="86">
        <v>44017.594189814816</v>
      </c>
      <c r="Q436" s="84" t="s">
        <v>710</v>
      </c>
      <c r="R436" s="84"/>
      <c r="S436" s="84"/>
      <c r="T436" s="84" t="s">
        <v>781</v>
      </c>
      <c r="U436" s="87" t="str">
        <f>HYPERLINK("https://pbs.twimg.com/media/EcKvbOOUMAUVnlf.png")</f>
        <v>https://pbs.twimg.com/media/EcKvbOOUMAUVnlf.png</v>
      </c>
      <c r="V436" s="87" t="str">
        <f>HYPERLINK("https://pbs.twimg.com/media/EcKvbOOUMAUVnlf.png")</f>
        <v>https://pbs.twimg.com/media/EcKvbOOUMAUVnlf.png</v>
      </c>
      <c r="W436" s="86">
        <v>44017.594189814816</v>
      </c>
      <c r="X436" s="90">
        <v>44017</v>
      </c>
      <c r="Y436" s="92" t="s">
        <v>1179</v>
      </c>
      <c r="Z436" s="87" t="str">
        <f>HYPERLINK("https://twitter.com/momo99momo1/status/1279780984016138241")</f>
        <v>https://twitter.com/momo99momo1/status/1279780984016138241</v>
      </c>
      <c r="AA436" s="84"/>
      <c r="AB436" s="84"/>
      <c r="AC436" s="92" t="s">
        <v>1600</v>
      </c>
      <c r="AD436" s="84"/>
      <c r="AE436" s="84" t="b">
        <v>0</v>
      </c>
      <c r="AF436" s="84">
        <v>0</v>
      </c>
      <c r="AG436" s="92" t="s">
        <v>1724</v>
      </c>
      <c r="AH436" s="84" t="b">
        <v>0</v>
      </c>
      <c r="AI436" s="84" t="s">
        <v>1750</v>
      </c>
      <c r="AJ436" s="84"/>
      <c r="AK436" s="92" t="s">
        <v>1724</v>
      </c>
      <c r="AL436" s="84" t="b">
        <v>0</v>
      </c>
      <c r="AM436" s="84">
        <v>0</v>
      </c>
      <c r="AN436" s="92" t="s">
        <v>1724</v>
      </c>
      <c r="AO436" s="84" t="s">
        <v>1766</v>
      </c>
      <c r="AP436" s="84" t="b">
        <v>0</v>
      </c>
      <c r="AQ436" s="92" t="s">
        <v>1600</v>
      </c>
      <c r="AR436" s="84" t="s">
        <v>179</v>
      </c>
      <c r="AS436" s="84">
        <v>0</v>
      </c>
      <c r="AT436" s="84">
        <v>0</v>
      </c>
      <c r="AU436" s="84"/>
      <c r="AV436" s="84"/>
      <c r="AW436" s="84"/>
      <c r="AX436" s="84"/>
      <c r="AY436" s="84"/>
      <c r="AZ436" s="84"/>
      <c r="BA436" s="84"/>
      <c r="BB436" s="84"/>
    </row>
    <row r="437" spans="1:54" x14ac:dyDescent="0.2">
      <c r="A437" s="69" t="s">
        <v>310</v>
      </c>
      <c r="B437" s="69" t="s">
        <v>319</v>
      </c>
      <c r="C437" s="70"/>
      <c r="D437" s="71"/>
      <c r="E437" s="72"/>
      <c r="F437" s="73"/>
      <c r="G437" s="70"/>
      <c r="H437" s="74"/>
      <c r="I437" s="75"/>
      <c r="J437" s="75"/>
      <c r="K437" s="36"/>
      <c r="L437" s="82"/>
      <c r="M437" s="82"/>
      <c r="N437" s="77"/>
      <c r="O437" s="84" t="s">
        <v>500</v>
      </c>
      <c r="P437" s="86">
        <v>44017.586944444447</v>
      </c>
      <c r="Q437" s="84" t="s">
        <v>593</v>
      </c>
      <c r="R437" s="87" t="str">
        <f>HYPERLINK("https://ingress.lycaeum.net/2020/06/20200623-0940.html")</f>
        <v>https://ingress.lycaeum.net/2020/06/20200623-0940.html</v>
      </c>
      <c r="S437" s="84" t="s">
        <v>761</v>
      </c>
      <c r="T437" s="84" t="s">
        <v>781</v>
      </c>
      <c r="U437" s="84"/>
      <c r="V437" s="87" t="str">
        <f>HYPERLINK("http://pbs.twimg.com/profile_images/1101502554653904896/EF5OM0tQ_normal.jpg")</f>
        <v>http://pbs.twimg.com/profile_images/1101502554653904896/EF5OM0tQ_normal.jpg</v>
      </c>
      <c r="W437" s="86">
        <v>44017.586944444447</v>
      </c>
      <c r="X437" s="90">
        <v>44017</v>
      </c>
      <c r="Y437" s="92" t="s">
        <v>977</v>
      </c>
      <c r="Z437" s="87" t="str">
        <f>HYPERLINK("https://twitter.com/almondx43/status/1279778359640068102")</f>
        <v>https://twitter.com/almondx43/status/1279778359640068102</v>
      </c>
      <c r="AA437" s="84"/>
      <c r="AB437" s="84"/>
      <c r="AC437" s="92" t="s">
        <v>1396</v>
      </c>
      <c r="AD437" s="84"/>
      <c r="AE437" s="84" t="b">
        <v>0</v>
      </c>
      <c r="AF437" s="84">
        <v>0</v>
      </c>
      <c r="AG437" s="92" t="s">
        <v>1724</v>
      </c>
      <c r="AH437" s="84" t="b">
        <v>0</v>
      </c>
      <c r="AI437" s="84" t="s">
        <v>1750</v>
      </c>
      <c r="AJ437" s="84"/>
      <c r="AK437" s="92" t="s">
        <v>1724</v>
      </c>
      <c r="AL437" s="84" t="b">
        <v>0</v>
      </c>
      <c r="AM437" s="84">
        <v>2</v>
      </c>
      <c r="AN437" s="92" t="s">
        <v>1424</v>
      </c>
      <c r="AO437" s="84" t="s">
        <v>1764</v>
      </c>
      <c r="AP437" s="84" t="b">
        <v>0</v>
      </c>
      <c r="AQ437" s="92" t="s">
        <v>1424</v>
      </c>
      <c r="AR437" s="84" t="s">
        <v>179</v>
      </c>
      <c r="AS437" s="84">
        <v>0</v>
      </c>
      <c r="AT437" s="84">
        <v>0</v>
      </c>
      <c r="AU437" s="84"/>
      <c r="AV437" s="84"/>
      <c r="AW437" s="84"/>
      <c r="AX437" s="84"/>
      <c r="AY437" s="84"/>
      <c r="AZ437" s="84"/>
      <c r="BA437" s="84"/>
      <c r="BB437" s="84"/>
    </row>
    <row r="438" spans="1:54" x14ac:dyDescent="0.2">
      <c r="A438" s="69" t="s">
        <v>238</v>
      </c>
      <c r="B438" s="69" t="s">
        <v>238</v>
      </c>
      <c r="C438" s="70"/>
      <c r="D438" s="71"/>
      <c r="E438" s="72"/>
      <c r="F438" s="73"/>
      <c r="G438" s="70"/>
      <c r="H438" s="74"/>
      <c r="I438" s="75"/>
      <c r="J438" s="75"/>
      <c r="K438" s="36"/>
      <c r="L438" s="82"/>
      <c r="M438" s="82"/>
      <c r="N438" s="77"/>
      <c r="O438" s="84" t="s">
        <v>179</v>
      </c>
      <c r="P438" s="86">
        <v>44017.564351851855</v>
      </c>
      <c r="Q438" s="84" t="s">
        <v>521</v>
      </c>
      <c r="R438" s="84"/>
      <c r="S438" s="84"/>
      <c r="T438" s="84" t="s">
        <v>781</v>
      </c>
      <c r="U438" s="87" t="str">
        <f>HYPERLINK("https://pbs.twimg.com/media/EcKnCtBU4AMeg87.jpg")</f>
        <v>https://pbs.twimg.com/media/EcKnCtBU4AMeg87.jpg</v>
      </c>
      <c r="V438" s="87" t="str">
        <f>HYPERLINK("https://pbs.twimg.com/media/EcKnCtBU4AMeg87.jpg")</f>
        <v>https://pbs.twimg.com/media/EcKnCtBU4AMeg87.jpg</v>
      </c>
      <c r="W438" s="86">
        <v>44017.564351851855</v>
      </c>
      <c r="X438" s="90">
        <v>44017</v>
      </c>
      <c r="Y438" s="92" t="s">
        <v>884</v>
      </c>
      <c r="Z438" s="87" t="str">
        <f>HYPERLINK("https://twitter.com/kestrelman0122/status/1279770170601295873")</f>
        <v>https://twitter.com/kestrelman0122/status/1279770170601295873</v>
      </c>
      <c r="AA438" s="84"/>
      <c r="AB438" s="84"/>
      <c r="AC438" s="92" t="s">
        <v>1303</v>
      </c>
      <c r="AD438" s="84"/>
      <c r="AE438" s="84" t="b">
        <v>0</v>
      </c>
      <c r="AF438" s="84">
        <v>1</v>
      </c>
      <c r="AG438" s="92" t="s">
        <v>1724</v>
      </c>
      <c r="AH438" s="84" t="b">
        <v>0</v>
      </c>
      <c r="AI438" s="84" t="s">
        <v>1750</v>
      </c>
      <c r="AJ438" s="84"/>
      <c r="AK438" s="92" t="s">
        <v>1724</v>
      </c>
      <c r="AL438" s="84" t="b">
        <v>0</v>
      </c>
      <c r="AM438" s="84">
        <v>0</v>
      </c>
      <c r="AN438" s="92" t="s">
        <v>1724</v>
      </c>
      <c r="AO438" s="84" t="s">
        <v>1766</v>
      </c>
      <c r="AP438" s="84" t="b">
        <v>0</v>
      </c>
      <c r="AQ438" s="92" t="s">
        <v>1303</v>
      </c>
      <c r="AR438" s="84" t="s">
        <v>179</v>
      </c>
      <c r="AS438" s="84">
        <v>0</v>
      </c>
      <c r="AT438" s="84">
        <v>0</v>
      </c>
      <c r="AU438" s="84"/>
      <c r="AV438" s="84"/>
      <c r="AW438" s="84"/>
      <c r="AX438" s="84"/>
      <c r="AY438" s="84"/>
      <c r="AZ438" s="84"/>
      <c r="BA438" s="84"/>
      <c r="BB438" s="84"/>
    </row>
    <row r="439" spans="1:54" x14ac:dyDescent="0.2">
      <c r="A439" s="69" t="s">
        <v>237</v>
      </c>
      <c r="B439" s="69" t="s">
        <v>237</v>
      </c>
      <c r="C439" s="70"/>
      <c r="D439" s="71"/>
      <c r="E439" s="72"/>
      <c r="F439" s="73"/>
      <c r="G439" s="70"/>
      <c r="H439" s="74"/>
      <c r="I439" s="75"/>
      <c r="J439" s="75"/>
      <c r="K439" s="36"/>
      <c r="L439" s="82"/>
      <c r="M439" s="82"/>
      <c r="N439" s="77"/>
      <c r="O439" s="84" t="s">
        <v>179</v>
      </c>
      <c r="P439" s="86">
        <v>44017.540925925925</v>
      </c>
      <c r="Q439" s="84" t="s">
        <v>520</v>
      </c>
      <c r="R439" s="84"/>
      <c r="S439" s="84"/>
      <c r="T439" s="84" t="s">
        <v>781</v>
      </c>
      <c r="U439" s="87" t="str">
        <f>HYPERLINK("https://pbs.twimg.com/media/EcKgdpFUwAAjwr8.jpg")</f>
        <v>https://pbs.twimg.com/media/EcKgdpFUwAAjwr8.jpg</v>
      </c>
      <c r="V439" s="87" t="str">
        <f>HYPERLINK("https://pbs.twimg.com/media/EcKgdpFUwAAjwr8.jpg")</f>
        <v>https://pbs.twimg.com/media/EcKgdpFUwAAjwr8.jpg</v>
      </c>
      <c r="W439" s="86">
        <v>44017.540925925925</v>
      </c>
      <c r="X439" s="90">
        <v>44017</v>
      </c>
      <c r="Y439" s="92" t="s">
        <v>883</v>
      </c>
      <c r="Z439" s="87" t="str">
        <f>HYPERLINK("https://twitter.com/yossie0007/status/1279761681418051584")</f>
        <v>https://twitter.com/yossie0007/status/1279761681418051584</v>
      </c>
      <c r="AA439" s="84"/>
      <c r="AB439" s="84"/>
      <c r="AC439" s="92" t="s">
        <v>1302</v>
      </c>
      <c r="AD439" s="84"/>
      <c r="AE439" s="84" t="b">
        <v>0</v>
      </c>
      <c r="AF439" s="84">
        <v>1</v>
      </c>
      <c r="AG439" s="92" t="s">
        <v>1724</v>
      </c>
      <c r="AH439" s="84" t="b">
        <v>0</v>
      </c>
      <c r="AI439" s="84" t="s">
        <v>1750</v>
      </c>
      <c r="AJ439" s="84"/>
      <c r="AK439" s="92" t="s">
        <v>1724</v>
      </c>
      <c r="AL439" s="84" t="b">
        <v>0</v>
      </c>
      <c r="AM439" s="84">
        <v>0</v>
      </c>
      <c r="AN439" s="92" t="s">
        <v>1724</v>
      </c>
      <c r="AO439" s="84" t="s">
        <v>1763</v>
      </c>
      <c r="AP439" s="84" t="b">
        <v>0</v>
      </c>
      <c r="AQ439" s="92" t="s">
        <v>1302</v>
      </c>
      <c r="AR439" s="84" t="s">
        <v>179</v>
      </c>
      <c r="AS439" s="84">
        <v>0</v>
      </c>
      <c r="AT439" s="84">
        <v>0</v>
      </c>
      <c r="AU439" s="84"/>
      <c r="AV439" s="84"/>
      <c r="AW439" s="84"/>
      <c r="AX439" s="84"/>
      <c r="AY439" s="84"/>
      <c r="AZ439" s="84"/>
      <c r="BA439" s="84"/>
      <c r="BB439" s="84"/>
    </row>
    <row r="440" spans="1:54" x14ac:dyDescent="0.2">
      <c r="A440" s="69" t="s">
        <v>236</v>
      </c>
      <c r="B440" s="69" t="s">
        <v>236</v>
      </c>
      <c r="C440" s="70"/>
      <c r="D440" s="71"/>
      <c r="E440" s="72"/>
      <c r="F440" s="73"/>
      <c r="G440" s="70"/>
      <c r="H440" s="74"/>
      <c r="I440" s="75"/>
      <c r="J440" s="75"/>
      <c r="K440" s="36"/>
      <c r="L440" s="82"/>
      <c r="M440" s="82"/>
      <c r="N440" s="77"/>
      <c r="O440" s="84" t="s">
        <v>179</v>
      </c>
      <c r="P440" s="86">
        <v>44017.540451388886</v>
      </c>
      <c r="Q440" s="84" t="s">
        <v>519</v>
      </c>
      <c r="R440" s="84"/>
      <c r="S440" s="84"/>
      <c r="T440" s="84" t="s">
        <v>781</v>
      </c>
      <c r="U440" s="84"/>
      <c r="V440" s="87" t="str">
        <f>HYPERLINK("http://pbs.twimg.com/profile_images/1254293723321495552/oqJAzkl-_normal.jpg")</f>
        <v>http://pbs.twimg.com/profile_images/1254293723321495552/oqJAzkl-_normal.jpg</v>
      </c>
      <c r="W440" s="86">
        <v>44017.540451388886</v>
      </c>
      <c r="X440" s="90">
        <v>44017</v>
      </c>
      <c r="Y440" s="92" t="s">
        <v>882</v>
      </c>
      <c r="Z440" s="87" t="str">
        <f>HYPERLINK("https://twitter.com/polecatgo/status/1279761509611008006")</f>
        <v>https://twitter.com/polecatgo/status/1279761509611008006</v>
      </c>
      <c r="AA440" s="84"/>
      <c r="AB440" s="84"/>
      <c r="AC440" s="92" t="s">
        <v>1301</v>
      </c>
      <c r="AD440" s="84"/>
      <c r="AE440" s="84" t="b">
        <v>0</v>
      </c>
      <c r="AF440" s="84">
        <v>2</v>
      </c>
      <c r="AG440" s="92" t="s">
        <v>1724</v>
      </c>
      <c r="AH440" s="84" t="b">
        <v>0</v>
      </c>
      <c r="AI440" s="84" t="s">
        <v>1750</v>
      </c>
      <c r="AJ440" s="84"/>
      <c r="AK440" s="92" t="s">
        <v>1724</v>
      </c>
      <c r="AL440" s="84" t="b">
        <v>0</v>
      </c>
      <c r="AM440" s="84">
        <v>0</v>
      </c>
      <c r="AN440" s="92" t="s">
        <v>1724</v>
      </c>
      <c r="AO440" s="84" t="s">
        <v>1763</v>
      </c>
      <c r="AP440" s="84" t="b">
        <v>0</v>
      </c>
      <c r="AQ440" s="92" t="s">
        <v>1301</v>
      </c>
      <c r="AR440" s="84" t="s">
        <v>179</v>
      </c>
      <c r="AS440" s="84">
        <v>0</v>
      </c>
      <c r="AT440" s="84">
        <v>0</v>
      </c>
      <c r="AU440" s="84"/>
      <c r="AV440" s="84"/>
      <c r="AW440" s="84"/>
      <c r="AX440" s="84"/>
      <c r="AY440" s="84"/>
      <c r="AZ440" s="84"/>
      <c r="BA440" s="84"/>
      <c r="BB440" s="84"/>
    </row>
    <row r="441" spans="1:54" x14ac:dyDescent="0.2">
      <c r="A441" s="69" t="s">
        <v>436</v>
      </c>
      <c r="B441" s="69" t="s">
        <v>437</v>
      </c>
      <c r="C441" s="70"/>
      <c r="D441" s="71"/>
      <c r="E441" s="72"/>
      <c r="F441" s="73"/>
      <c r="G441" s="70"/>
      <c r="H441" s="74"/>
      <c r="I441" s="75"/>
      <c r="J441" s="75"/>
      <c r="K441" s="36"/>
      <c r="L441" s="82"/>
      <c r="M441" s="82"/>
      <c r="N441" s="77"/>
      <c r="O441" s="84" t="s">
        <v>500</v>
      </c>
      <c r="P441" s="86">
        <v>44017.512141203704</v>
      </c>
      <c r="Q441" s="84" t="s">
        <v>725</v>
      </c>
      <c r="R441" s="84"/>
      <c r="S441" s="84"/>
      <c r="T441" s="84" t="s">
        <v>852</v>
      </c>
      <c r="U441" s="87" t="str">
        <f>HYPERLINK("https://pbs.twimg.com/media/EcKWNpjUcAoE_Gj.jpg")</f>
        <v>https://pbs.twimg.com/media/EcKWNpjUcAoE_Gj.jpg</v>
      </c>
      <c r="V441" s="87" t="str">
        <f>HYPERLINK("https://pbs.twimg.com/media/EcKWNpjUcAoE_Gj.jpg")</f>
        <v>https://pbs.twimg.com/media/EcKWNpjUcAoE_Gj.jpg</v>
      </c>
      <c r="W441" s="86">
        <v>44017.512141203704</v>
      </c>
      <c r="X441" s="90">
        <v>44017</v>
      </c>
      <c r="Y441" s="92" t="s">
        <v>1213</v>
      </c>
      <c r="Z441" s="87" t="str">
        <f>HYPERLINK("https://twitter.com/waiwai5321/status/1279751250595049472")</f>
        <v>https://twitter.com/waiwai5321/status/1279751250595049472</v>
      </c>
      <c r="AA441" s="84"/>
      <c r="AB441" s="84"/>
      <c r="AC441" s="92" t="s">
        <v>1634</v>
      </c>
      <c r="AD441" s="84"/>
      <c r="AE441" s="84" t="b">
        <v>0</v>
      </c>
      <c r="AF441" s="84">
        <v>0</v>
      </c>
      <c r="AG441" s="92" t="s">
        <v>1724</v>
      </c>
      <c r="AH441" s="84" t="b">
        <v>0</v>
      </c>
      <c r="AI441" s="84" t="s">
        <v>1750</v>
      </c>
      <c r="AJ441" s="84"/>
      <c r="AK441" s="92" t="s">
        <v>1724</v>
      </c>
      <c r="AL441" s="84" t="b">
        <v>0</v>
      </c>
      <c r="AM441" s="84">
        <v>2</v>
      </c>
      <c r="AN441" s="92" t="s">
        <v>1633</v>
      </c>
      <c r="AO441" s="84" t="s">
        <v>1763</v>
      </c>
      <c r="AP441" s="84" t="b">
        <v>0</v>
      </c>
      <c r="AQ441" s="92" t="s">
        <v>1633</v>
      </c>
      <c r="AR441" s="84" t="s">
        <v>179</v>
      </c>
      <c r="AS441" s="84">
        <v>0</v>
      </c>
      <c r="AT441" s="84">
        <v>0</v>
      </c>
      <c r="AU441" s="84"/>
      <c r="AV441" s="84"/>
      <c r="AW441" s="84"/>
      <c r="AX441" s="84"/>
      <c r="AY441" s="84"/>
      <c r="AZ441" s="84"/>
      <c r="BA441" s="84"/>
      <c r="BB441" s="84"/>
    </row>
    <row r="442" spans="1:54" x14ac:dyDescent="0.2">
      <c r="A442" s="69" t="s">
        <v>437</v>
      </c>
      <c r="B442" s="69" t="s">
        <v>437</v>
      </c>
      <c r="C442" s="70"/>
      <c r="D442" s="71"/>
      <c r="E442" s="72"/>
      <c r="F442" s="73"/>
      <c r="G442" s="70"/>
      <c r="H442" s="74"/>
      <c r="I442" s="75"/>
      <c r="J442" s="75"/>
      <c r="K442" s="36"/>
      <c r="L442" s="82"/>
      <c r="M442" s="82"/>
      <c r="N442" s="77"/>
      <c r="O442" s="84" t="s">
        <v>179</v>
      </c>
      <c r="P442" s="86">
        <v>44017.509826388887</v>
      </c>
      <c r="Q442" s="84" t="s">
        <v>725</v>
      </c>
      <c r="R442" s="84"/>
      <c r="S442" s="84"/>
      <c r="T442" s="84" t="s">
        <v>852</v>
      </c>
      <c r="U442" s="87" t="str">
        <f>HYPERLINK("https://pbs.twimg.com/media/EcKWNpjUcAoE_Gj.jpg")</f>
        <v>https://pbs.twimg.com/media/EcKWNpjUcAoE_Gj.jpg</v>
      </c>
      <c r="V442" s="87" t="str">
        <f>HYPERLINK("https://pbs.twimg.com/media/EcKWNpjUcAoE_Gj.jpg")</f>
        <v>https://pbs.twimg.com/media/EcKWNpjUcAoE_Gj.jpg</v>
      </c>
      <c r="W442" s="86">
        <v>44017.509826388887</v>
      </c>
      <c r="X442" s="90">
        <v>44017</v>
      </c>
      <c r="Y442" s="92" t="s">
        <v>1212</v>
      </c>
      <c r="Z442" s="87" t="str">
        <f>HYPERLINK("https://twitter.com/roassotakasan/status/1279750413760163840")</f>
        <v>https://twitter.com/roassotakasan/status/1279750413760163840</v>
      </c>
      <c r="AA442" s="84"/>
      <c r="AB442" s="84"/>
      <c r="AC442" s="92" t="s">
        <v>1633</v>
      </c>
      <c r="AD442" s="84"/>
      <c r="AE442" s="84" t="b">
        <v>0</v>
      </c>
      <c r="AF442" s="84">
        <v>13</v>
      </c>
      <c r="AG442" s="92" t="s">
        <v>1724</v>
      </c>
      <c r="AH442" s="84" t="b">
        <v>0</v>
      </c>
      <c r="AI442" s="84" t="s">
        <v>1750</v>
      </c>
      <c r="AJ442" s="84"/>
      <c r="AK442" s="92" t="s">
        <v>1724</v>
      </c>
      <c r="AL442" s="84" t="b">
        <v>0</v>
      </c>
      <c r="AM442" s="84">
        <v>2</v>
      </c>
      <c r="AN442" s="92" t="s">
        <v>1724</v>
      </c>
      <c r="AO442" s="84" t="s">
        <v>1764</v>
      </c>
      <c r="AP442" s="84" t="b">
        <v>0</v>
      </c>
      <c r="AQ442" s="92" t="s">
        <v>1633</v>
      </c>
      <c r="AR442" s="84" t="s">
        <v>179</v>
      </c>
      <c r="AS442" s="84">
        <v>0</v>
      </c>
      <c r="AT442" s="84">
        <v>0</v>
      </c>
      <c r="AU442" s="84" t="s">
        <v>1788</v>
      </c>
      <c r="AV442" s="84" t="s">
        <v>1789</v>
      </c>
      <c r="AW442" s="84" t="s">
        <v>1792</v>
      </c>
      <c r="AX442" s="84" t="s">
        <v>1799</v>
      </c>
      <c r="AY442" s="84" t="s">
        <v>1804</v>
      </c>
      <c r="AZ442" s="84" t="s">
        <v>1809</v>
      </c>
      <c r="BA442" s="84" t="s">
        <v>1810</v>
      </c>
      <c r="BB442" s="87" t="str">
        <f>HYPERLINK("https://api.twitter.com/1.1/geo/id/bad1ca88f10feb9b.json")</f>
        <v>https://api.twitter.com/1.1/geo/id/bad1ca88f10feb9b.json</v>
      </c>
    </row>
    <row r="443" spans="1:54" x14ac:dyDescent="0.2">
      <c r="A443" s="69" t="s">
        <v>235</v>
      </c>
      <c r="B443" s="69" t="s">
        <v>235</v>
      </c>
      <c r="C443" s="70"/>
      <c r="D443" s="71"/>
      <c r="E443" s="72"/>
      <c r="F443" s="73"/>
      <c r="G443" s="70"/>
      <c r="H443" s="74"/>
      <c r="I443" s="75"/>
      <c r="J443" s="75"/>
      <c r="K443" s="36"/>
      <c r="L443" s="82"/>
      <c r="M443" s="82"/>
      <c r="N443" s="77"/>
      <c r="O443" s="84" t="s">
        <v>179</v>
      </c>
      <c r="P443" s="86">
        <v>44017.48096064815</v>
      </c>
      <c r="Q443" s="84" t="s">
        <v>518</v>
      </c>
      <c r="R443" s="84"/>
      <c r="S443" s="84"/>
      <c r="T443" s="84" t="s">
        <v>786</v>
      </c>
      <c r="U443" s="87" t="str">
        <f>HYPERLINK("https://pbs.twimg.com/media/EcKMs0rUEAEI8mL.jpg")</f>
        <v>https://pbs.twimg.com/media/EcKMs0rUEAEI8mL.jpg</v>
      </c>
      <c r="V443" s="87" t="str">
        <f>HYPERLINK("https://pbs.twimg.com/media/EcKMs0rUEAEI8mL.jpg")</f>
        <v>https://pbs.twimg.com/media/EcKMs0rUEAEI8mL.jpg</v>
      </c>
      <c r="W443" s="86">
        <v>44017.48096064815</v>
      </c>
      <c r="X443" s="90">
        <v>44017</v>
      </c>
      <c r="Y443" s="92" t="s">
        <v>881</v>
      </c>
      <c r="Z443" s="87" t="str">
        <f>HYPERLINK("https://twitter.com/funkrollin_enl/status/1279739950603223040")</f>
        <v>https://twitter.com/funkrollin_enl/status/1279739950603223040</v>
      </c>
      <c r="AA443" s="84"/>
      <c r="AB443" s="84"/>
      <c r="AC443" s="92" t="s">
        <v>1300</v>
      </c>
      <c r="AD443" s="84"/>
      <c r="AE443" s="84" t="b">
        <v>0</v>
      </c>
      <c r="AF443" s="84">
        <v>38</v>
      </c>
      <c r="AG443" s="92" t="s">
        <v>1724</v>
      </c>
      <c r="AH443" s="84" t="b">
        <v>0</v>
      </c>
      <c r="AI443" s="84" t="s">
        <v>1750</v>
      </c>
      <c r="AJ443" s="84"/>
      <c r="AK443" s="92" t="s">
        <v>1724</v>
      </c>
      <c r="AL443" s="84" t="b">
        <v>0</v>
      </c>
      <c r="AM443" s="84">
        <v>1</v>
      </c>
      <c r="AN443" s="92" t="s">
        <v>1724</v>
      </c>
      <c r="AO443" s="84" t="s">
        <v>1764</v>
      </c>
      <c r="AP443" s="84" t="b">
        <v>0</v>
      </c>
      <c r="AQ443" s="92" t="s">
        <v>1300</v>
      </c>
      <c r="AR443" s="84" t="s">
        <v>179</v>
      </c>
      <c r="AS443" s="84">
        <v>0</v>
      </c>
      <c r="AT443" s="84">
        <v>0</v>
      </c>
      <c r="AU443" s="84"/>
      <c r="AV443" s="84"/>
      <c r="AW443" s="84"/>
      <c r="AX443" s="84"/>
      <c r="AY443" s="84"/>
      <c r="AZ443" s="84"/>
      <c r="BA443" s="84"/>
      <c r="BB443" s="84"/>
    </row>
    <row r="444" spans="1:54" x14ac:dyDescent="0.2">
      <c r="A444" s="69" t="s">
        <v>408</v>
      </c>
      <c r="B444" s="69" t="s">
        <v>408</v>
      </c>
      <c r="C444" s="70"/>
      <c r="D444" s="71"/>
      <c r="E444" s="72"/>
      <c r="F444" s="73"/>
      <c r="G444" s="70"/>
      <c r="H444" s="74"/>
      <c r="I444" s="75"/>
      <c r="J444" s="75"/>
      <c r="K444" s="36"/>
      <c r="L444" s="82"/>
      <c r="M444" s="82"/>
      <c r="N444" s="77"/>
      <c r="O444" s="84" t="s">
        <v>179</v>
      </c>
      <c r="P444" s="86">
        <v>44017.448310185187</v>
      </c>
      <c r="Q444" s="84" t="s">
        <v>695</v>
      </c>
      <c r="R444" s="84"/>
      <c r="S444" s="84"/>
      <c r="T444" s="84" t="s">
        <v>845</v>
      </c>
      <c r="U444" s="84"/>
      <c r="V444" s="87" t="str">
        <f>HYPERLINK("http://pbs.twimg.com/profile_images/1262859678121263104/DecomVhL_normal.jpg")</f>
        <v>http://pbs.twimg.com/profile_images/1262859678121263104/DecomVhL_normal.jpg</v>
      </c>
      <c r="W444" s="86">
        <v>44017.448310185187</v>
      </c>
      <c r="X444" s="90">
        <v>44017</v>
      </c>
      <c r="Y444" s="92" t="s">
        <v>1152</v>
      </c>
      <c r="Z444" s="87" t="str">
        <f>HYPERLINK("https://twitter.com/hirocos2/status/1279728119356592128")</f>
        <v>https://twitter.com/hirocos2/status/1279728119356592128</v>
      </c>
      <c r="AA444" s="84"/>
      <c r="AB444" s="84"/>
      <c r="AC444" s="92" t="s">
        <v>1573</v>
      </c>
      <c r="AD444" s="84"/>
      <c r="AE444" s="84" t="b">
        <v>0</v>
      </c>
      <c r="AF444" s="84">
        <v>7</v>
      </c>
      <c r="AG444" s="92" t="s">
        <v>1724</v>
      </c>
      <c r="AH444" s="84" t="b">
        <v>0</v>
      </c>
      <c r="AI444" s="84" t="s">
        <v>1750</v>
      </c>
      <c r="AJ444" s="84"/>
      <c r="AK444" s="92" t="s">
        <v>1724</v>
      </c>
      <c r="AL444" s="84" t="b">
        <v>0</v>
      </c>
      <c r="AM444" s="84">
        <v>0</v>
      </c>
      <c r="AN444" s="92" t="s">
        <v>1724</v>
      </c>
      <c r="AO444" s="84" t="s">
        <v>1763</v>
      </c>
      <c r="AP444" s="84" t="b">
        <v>0</v>
      </c>
      <c r="AQ444" s="92" t="s">
        <v>1573</v>
      </c>
      <c r="AR444" s="84" t="s">
        <v>179</v>
      </c>
      <c r="AS444" s="84">
        <v>0</v>
      </c>
      <c r="AT444" s="84">
        <v>0</v>
      </c>
      <c r="AU444" s="84"/>
      <c r="AV444" s="84"/>
      <c r="AW444" s="84"/>
      <c r="AX444" s="84"/>
      <c r="AY444" s="84"/>
      <c r="AZ444" s="84"/>
      <c r="BA444" s="84"/>
      <c r="BB444" s="84"/>
    </row>
    <row r="445" spans="1:54" x14ac:dyDescent="0.2">
      <c r="A445" s="69" t="s">
        <v>234</v>
      </c>
      <c r="B445" s="69" t="s">
        <v>464</v>
      </c>
      <c r="C445" s="70"/>
      <c r="D445" s="71"/>
      <c r="E445" s="72"/>
      <c r="F445" s="73"/>
      <c r="G445" s="70"/>
      <c r="H445" s="74"/>
      <c r="I445" s="75"/>
      <c r="J445" s="75"/>
      <c r="K445" s="36"/>
      <c r="L445" s="82"/>
      <c r="M445" s="82"/>
      <c r="N445" s="77"/>
      <c r="O445" s="84" t="s">
        <v>501</v>
      </c>
      <c r="P445" s="86">
        <v>44017.414560185185</v>
      </c>
      <c r="Q445" s="84" t="s">
        <v>517</v>
      </c>
      <c r="R445" s="84"/>
      <c r="S445" s="84"/>
      <c r="T445" s="84" t="s">
        <v>781</v>
      </c>
      <c r="U445" s="87" t="str">
        <f>HYPERLINK("https://pbs.twimg.com/media/EcJ2zJaWkAEvWPM.jpg")</f>
        <v>https://pbs.twimg.com/media/EcJ2zJaWkAEvWPM.jpg</v>
      </c>
      <c r="V445" s="87" t="str">
        <f>HYPERLINK("https://pbs.twimg.com/media/EcJ2zJaWkAEvWPM.jpg")</f>
        <v>https://pbs.twimg.com/media/EcJ2zJaWkAEvWPM.jpg</v>
      </c>
      <c r="W445" s="86">
        <v>44017.414560185185</v>
      </c>
      <c r="X445" s="90">
        <v>44017</v>
      </c>
      <c r="Y445" s="92" t="s">
        <v>880</v>
      </c>
      <c r="Z445" s="87" t="str">
        <f>HYPERLINK("https://twitter.com/gusra69/status/1279715890628608000")</f>
        <v>https://twitter.com/gusra69/status/1279715890628608000</v>
      </c>
      <c r="AA445" s="84"/>
      <c r="AB445" s="84"/>
      <c r="AC445" s="92" t="s">
        <v>1299</v>
      </c>
      <c r="AD445" s="84"/>
      <c r="AE445" s="84" t="b">
        <v>0</v>
      </c>
      <c r="AF445" s="84">
        <v>0</v>
      </c>
      <c r="AG445" s="92" t="s">
        <v>1724</v>
      </c>
      <c r="AH445" s="84" t="b">
        <v>0</v>
      </c>
      <c r="AI445" s="84" t="s">
        <v>1754</v>
      </c>
      <c r="AJ445" s="84"/>
      <c r="AK445" s="92" t="s">
        <v>1724</v>
      </c>
      <c r="AL445" s="84" t="b">
        <v>0</v>
      </c>
      <c r="AM445" s="84">
        <v>0</v>
      </c>
      <c r="AN445" s="92" t="s">
        <v>1724</v>
      </c>
      <c r="AO445" s="84" t="s">
        <v>1764</v>
      </c>
      <c r="AP445" s="84" t="b">
        <v>0</v>
      </c>
      <c r="AQ445" s="92" t="s">
        <v>1299</v>
      </c>
      <c r="AR445" s="84" t="s">
        <v>179</v>
      </c>
      <c r="AS445" s="84">
        <v>0</v>
      </c>
      <c r="AT445" s="84">
        <v>0</v>
      </c>
      <c r="AU445" s="84"/>
      <c r="AV445" s="84"/>
      <c r="AW445" s="84"/>
      <c r="AX445" s="84"/>
      <c r="AY445" s="84"/>
      <c r="AZ445" s="84"/>
      <c r="BA445" s="84"/>
      <c r="BB445" s="84"/>
    </row>
    <row r="446" spans="1:54" x14ac:dyDescent="0.2">
      <c r="A446" s="69" t="s">
        <v>234</v>
      </c>
      <c r="B446" s="69" t="s">
        <v>465</v>
      </c>
      <c r="C446" s="70"/>
      <c r="D446" s="71"/>
      <c r="E446" s="72"/>
      <c r="F446" s="73"/>
      <c r="G446" s="70"/>
      <c r="H446" s="74"/>
      <c r="I446" s="75"/>
      <c r="J446" s="75"/>
      <c r="K446" s="36"/>
      <c r="L446" s="82"/>
      <c r="M446" s="82"/>
      <c r="N446" s="77"/>
      <c r="O446" s="84" t="s">
        <v>501</v>
      </c>
      <c r="P446" s="86">
        <v>44017.414560185185</v>
      </c>
      <c r="Q446" s="84" t="s">
        <v>517</v>
      </c>
      <c r="R446" s="84"/>
      <c r="S446" s="84"/>
      <c r="T446" s="84" t="s">
        <v>781</v>
      </c>
      <c r="U446" s="87" t="str">
        <f>HYPERLINK("https://pbs.twimg.com/media/EcJ2zJaWkAEvWPM.jpg")</f>
        <v>https://pbs.twimg.com/media/EcJ2zJaWkAEvWPM.jpg</v>
      </c>
      <c r="V446" s="87" t="str">
        <f>HYPERLINK("https://pbs.twimg.com/media/EcJ2zJaWkAEvWPM.jpg")</f>
        <v>https://pbs.twimg.com/media/EcJ2zJaWkAEvWPM.jpg</v>
      </c>
      <c r="W446" s="86">
        <v>44017.414560185185</v>
      </c>
      <c r="X446" s="90">
        <v>44017</v>
      </c>
      <c r="Y446" s="92" t="s">
        <v>880</v>
      </c>
      <c r="Z446" s="87" t="str">
        <f>HYPERLINK("https://twitter.com/gusra69/status/1279715890628608000")</f>
        <v>https://twitter.com/gusra69/status/1279715890628608000</v>
      </c>
      <c r="AA446" s="84"/>
      <c r="AB446" s="84"/>
      <c r="AC446" s="92" t="s">
        <v>1299</v>
      </c>
      <c r="AD446" s="84"/>
      <c r="AE446" s="84" t="b">
        <v>0</v>
      </c>
      <c r="AF446" s="84">
        <v>0</v>
      </c>
      <c r="AG446" s="92" t="s">
        <v>1724</v>
      </c>
      <c r="AH446" s="84" t="b">
        <v>0</v>
      </c>
      <c r="AI446" s="84" t="s">
        <v>1754</v>
      </c>
      <c r="AJ446" s="84"/>
      <c r="AK446" s="92" t="s">
        <v>1724</v>
      </c>
      <c r="AL446" s="84" t="b">
        <v>0</v>
      </c>
      <c r="AM446" s="84">
        <v>0</v>
      </c>
      <c r="AN446" s="92" t="s">
        <v>1724</v>
      </c>
      <c r="AO446" s="84" t="s">
        <v>1764</v>
      </c>
      <c r="AP446" s="84" t="b">
        <v>0</v>
      </c>
      <c r="AQ446" s="92" t="s">
        <v>1299</v>
      </c>
      <c r="AR446" s="84" t="s">
        <v>179</v>
      </c>
      <c r="AS446" s="84">
        <v>0</v>
      </c>
      <c r="AT446" s="84">
        <v>0</v>
      </c>
      <c r="AU446" s="84"/>
      <c r="AV446" s="84"/>
      <c r="AW446" s="84"/>
      <c r="AX446" s="84"/>
      <c r="AY446" s="84"/>
      <c r="AZ446" s="84"/>
      <c r="BA446" s="84"/>
      <c r="BB446" s="84"/>
    </row>
    <row r="447" spans="1:54" x14ac:dyDescent="0.2">
      <c r="A447" s="69" t="s">
        <v>233</v>
      </c>
      <c r="B447" s="69" t="s">
        <v>233</v>
      </c>
      <c r="C447" s="70"/>
      <c r="D447" s="71"/>
      <c r="E447" s="72"/>
      <c r="F447" s="73"/>
      <c r="G447" s="70"/>
      <c r="H447" s="74"/>
      <c r="I447" s="75"/>
      <c r="J447" s="75"/>
      <c r="K447" s="36"/>
      <c r="L447" s="82"/>
      <c r="M447" s="82"/>
      <c r="N447" s="77"/>
      <c r="O447" s="84" t="s">
        <v>179</v>
      </c>
      <c r="P447" s="86">
        <v>44017.409201388888</v>
      </c>
      <c r="Q447" s="84" t="s">
        <v>516</v>
      </c>
      <c r="R447" s="84"/>
      <c r="S447" s="84"/>
      <c r="T447" s="84" t="s">
        <v>785</v>
      </c>
      <c r="U447" s="87" t="str">
        <f>HYPERLINK("https://pbs.twimg.com/media/EcJ1DCNU4AAuMB6.jpg")</f>
        <v>https://pbs.twimg.com/media/EcJ1DCNU4AAuMB6.jpg</v>
      </c>
      <c r="V447" s="87" t="str">
        <f>HYPERLINK("https://pbs.twimg.com/media/EcJ1DCNU4AAuMB6.jpg")</f>
        <v>https://pbs.twimg.com/media/EcJ1DCNU4AAuMB6.jpg</v>
      </c>
      <c r="W447" s="86">
        <v>44017.409201388888</v>
      </c>
      <c r="X447" s="90">
        <v>44017</v>
      </c>
      <c r="Y447" s="92" t="s">
        <v>879</v>
      </c>
      <c r="Z447" s="87" t="str">
        <f>HYPERLINK("https://twitter.com/nebapuri/status/1279713945964535808")</f>
        <v>https://twitter.com/nebapuri/status/1279713945964535808</v>
      </c>
      <c r="AA447" s="84"/>
      <c r="AB447" s="84"/>
      <c r="AC447" s="92" t="s">
        <v>1298</v>
      </c>
      <c r="AD447" s="84"/>
      <c r="AE447" s="84" t="b">
        <v>0</v>
      </c>
      <c r="AF447" s="84">
        <v>9</v>
      </c>
      <c r="AG447" s="92" t="s">
        <v>1724</v>
      </c>
      <c r="AH447" s="84" t="b">
        <v>0</v>
      </c>
      <c r="AI447" s="84" t="s">
        <v>1750</v>
      </c>
      <c r="AJ447" s="84"/>
      <c r="AK447" s="92" t="s">
        <v>1724</v>
      </c>
      <c r="AL447" s="84" t="b">
        <v>0</v>
      </c>
      <c r="AM447" s="84">
        <v>0</v>
      </c>
      <c r="AN447" s="92" t="s">
        <v>1724</v>
      </c>
      <c r="AO447" s="84" t="s">
        <v>1763</v>
      </c>
      <c r="AP447" s="84" t="b">
        <v>0</v>
      </c>
      <c r="AQ447" s="92" t="s">
        <v>1298</v>
      </c>
      <c r="AR447" s="84" t="s">
        <v>179</v>
      </c>
      <c r="AS447" s="84">
        <v>0</v>
      </c>
      <c r="AT447" s="84">
        <v>0</v>
      </c>
      <c r="AU447" s="84"/>
      <c r="AV447" s="84"/>
      <c r="AW447" s="84"/>
      <c r="AX447" s="84"/>
      <c r="AY447" s="84"/>
      <c r="AZ447" s="84"/>
      <c r="BA447" s="84"/>
      <c r="BB447" s="84"/>
    </row>
    <row r="448" spans="1:54" x14ac:dyDescent="0.2">
      <c r="A448" s="69" t="s">
        <v>409</v>
      </c>
      <c r="B448" s="69" t="s">
        <v>409</v>
      </c>
      <c r="C448" s="70"/>
      <c r="D448" s="71"/>
      <c r="E448" s="72"/>
      <c r="F448" s="73"/>
      <c r="G448" s="70"/>
      <c r="H448" s="74"/>
      <c r="I448" s="75"/>
      <c r="J448" s="75"/>
      <c r="K448" s="36"/>
      <c r="L448" s="82"/>
      <c r="M448" s="82"/>
      <c r="N448" s="77"/>
      <c r="O448" s="84" t="s">
        <v>179</v>
      </c>
      <c r="P448" s="86">
        <v>44017.377743055556</v>
      </c>
      <c r="Q448" s="84" t="s">
        <v>522</v>
      </c>
      <c r="R448" s="84"/>
      <c r="S448" s="84"/>
      <c r="T448" s="84" t="s">
        <v>781</v>
      </c>
      <c r="U448" s="84"/>
      <c r="V448" s="87" t="str">
        <f>HYPERLINK("http://pbs.twimg.com/profile_images/1236668333157519361/R8t7DbMO_normal.jpg")</f>
        <v>http://pbs.twimg.com/profile_images/1236668333157519361/R8t7DbMO_normal.jpg</v>
      </c>
      <c r="W448" s="86">
        <v>44017.377743055556</v>
      </c>
      <c r="X448" s="90">
        <v>44017</v>
      </c>
      <c r="Y448" s="92" t="s">
        <v>1161</v>
      </c>
      <c r="Z448" s="87" t="str">
        <f>HYPERLINK("https://twitter.com/sinxsan/status/1279702548329279489")</f>
        <v>https://twitter.com/sinxsan/status/1279702548329279489</v>
      </c>
      <c r="AA448" s="84"/>
      <c r="AB448" s="84"/>
      <c r="AC448" s="92" t="s">
        <v>1582</v>
      </c>
      <c r="AD448" s="92" t="s">
        <v>1715</v>
      </c>
      <c r="AE448" s="84" t="b">
        <v>0</v>
      </c>
      <c r="AF448" s="84">
        <v>2</v>
      </c>
      <c r="AG448" s="92" t="s">
        <v>1740</v>
      </c>
      <c r="AH448" s="84" t="b">
        <v>0</v>
      </c>
      <c r="AI448" s="84" t="s">
        <v>1750</v>
      </c>
      <c r="AJ448" s="84"/>
      <c r="AK448" s="92" t="s">
        <v>1724</v>
      </c>
      <c r="AL448" s="84" t="b">
        <v>0</v>
      </c>
      <c r="AM448" s="84">
        <v>2</v>
      </c>
      <c r="AN448" s="92" t="s">
        <v>1724</v>
      </c>
      <c r="AO448" s="84" t="s">
        <v>1763</v>
      </c>
      <c r="AP448" s="84" t="b">
        <v>0</v>
      </c>
      <c r="AQ448" s="92" t="s">
        <v>1715</v>
      </c>
      <c r="AR448" s="84" t="s">
        <v>179</v>
      </c>
      <c r="AS448" s="84">
        <v>0</v>
      </c>
      <c r="AT448" s="84">
        <v>0</v>
      </c>
      <c r="AU448" s="84"/>
      <c r="AV448" s="84"/>
      <c r="AW448" s="84"/>
      <c r="AX448" s="84"/>
      <c r="AY448" s="84"/>
      <c r="AZ448" s="84"/>
      <c r="BA448" s="84"/>
      <c r="BB448" s="84"/>
    </row>
    <row r="449" spans="1:54" x14ac:dyDescent="0.2">
      <c r="A449" s="69" t="s">
        <v>436</v>
      </c>
      <c r="B449" s="69" t="s">
        <v>436</v>
      </c>
      <c r="C449" s="70"/>
      <c r="D449" s="71"/>
      <c r="E449" s="72"/>
      <c r="F449" s="73"/>
      <c r="G449" s="70"/>
      <c r="H449" s="74"/>
      <c r="I449" s="75"/>
      <c r="J449" s="75"/>
      <c r="K449" s="36"/>
      <c r="L449" s="82"/>
      <c r="M449" s="82"/>
      <c r="N449" s="77"/>
      <c r="O449" s="84" t="s">
        <v>179</v>
      </c>
      <c r="P449" s="86">
        <v>44017.371782407405</v>
      </c>
      <c r="Q449" s="84" t="s">
        <v>735</v>
      </c>
      <c r="R449" s="84"/>
      <c r="S449" s="84"/>
      <c r="T449" s="84" t="s">
        <v>781</v>
      </c>
      <c r="U449" s="87" t="str">
        <f>HYPERLINK("https://pbs.twimg.com/media/EcJot9HUMAMjAZG.jpg")</f>
        <v>https://pbs.twimg.com/media/EcJot9HUMAMjAZG.jpg</v>
      </c>
      <c r="V449" s="87" t="str">
        <f>HYPERLINK("https://pbs.twimg.com/media/EcJot9HUMAMjAZG.jpg")</f>
        <v>https://pbs.twimg.com/media/EcJot9HUMAMjAZG.jpg</v>
      </c>
      <c r="W449" s="86">
        <v>44017.371782407405</v>
      </c>
      <c r="X449" s="90">
        <v>44017</v>
      </c>
      <c r="Y449" s="92" t="s">
        <v>1228</v>
      </c>
      <c r="Z449" s="87" t="str">
        <f>HYPERLINK("https://twitter.com/waiwai5321/status/1279700386824065024")</f>
        <v>https://twitter.com/waiwai5321/status/1279700386824065024</v>
      </c>
      <c r="AA449" s="84"/>
      <c r="AB449" s="84"/>
      <c r="AC449" s="92" t="s">
        <v>1649</v>
      </c>
      <c r="AD449" s="84"/>
      <c r="AE449" s="84" t="b">
        <v>0</v>
      </c>
      <c r="AF449" s="84">
        <v>0</v>
      </c>
      <c r="AG449" s="92" t="s">
        <v>1724</v>
      </c>
      <c r="AH449" s="84" t="b">
        <v>0</v>
      </c>
      <c r="AI449" s="84" t="s">
        <v>1750</v>
      </c>
      <c r="AJ449" s="84"/>
      <c r="AK449" s="92" t="s">
        <v>1724</v>
      </c>
      <c r="AL449" s="84" t="b">
        <v>0</v>
      </c>
      <c r="AM449" s="84">
        <v>0</v>
      </c>
      <c r="AN449" s="92" t="s">
        <v>1724</v>
      </c>
      <c r="AO449" s="84" t="s">
        <v>1763</v>
      </c>
      <c r="AP449" s="84" t="b">
        <v>0</v>
      </c>
      <c r="AQ449" s="92" t="s">
        <v>1649</v>
      </c>
      <c r="AR449" s="84" t="s">
        <v>179</v>
      </c>
      <c r="AS449" s="84">
        <v>0</v>
      </c>
      <c r="AT449" s="84">
        <v>0</v>
      </c>
      <c r="AU449" s="84"/>
      <c r="AV449" s="84"/>
      <c r="AW449" s="84"/>
      <c r="AX449" s="84"/>
      <c r="AY449" s="84"/>
      <c r="AZ449" s="84"/>
      <c r="BA449" s="84"/>
      <c r="BB449" s="84"/>
    </row>
    <row r="450" spans="1:54" x14ac:dyDescent="0.2">
      <c r="A450" s="69" t="s">
        <v>319</v>
      </c>
      <c r="B450" s="69" t="s">
        <v>319</v>
      </c>
      <c r="C450" s="70"/>
      <c r="D450" s="71"/>
      <c r="E450" s="72"/>
      <c r="F450" s="73"/>
      <c r="G450" s="70"/>
      <c r="H450" s="74"/>
      <c r="I450" s="75"/>
      <c r="J450" s="75"/>
      <c r="K450" s="36"/>
      <c r="L450" s="82"/>
      <c r="M450" s="82"/>
      <c r="N450" s="77"/>
      <c r="O450" s="84" t="s">
        <v>179</v>
      </c>
      <c r="P450" s="86">
        <v>44017.367013888892</v>
      </c>
      <c r="Q450" s="84" t="s">
        <v>620</v>
      </c>
      <c r="R450" s="84"/>
      <c r="S450" s="84"/>
      <c r="T450" s="84" t="s">
        <v>781</v>
      </c>
      <c r="U450" s="84"/>
      <c r="V450" s="87" t="str">
        <f>HYPERLINK("http://pbs.twimg.com/profile_images/1234029170780299264/4wlxNbMl_normal.jpg")</f>
        <v>http://pbs.twimg.com/profile_images/1234029170780299264/4wlxNbMl_normal.jpg</v>
      </c>
      <c r="W450" s="86">
        <v>44017.367013888892</v>
      </c>
      <c r="X450" s="90">
        <v>44017</v>
      </c>
      <c r="Y450" s="92" t="s">
        <v>1008</v>
      </c>
      <c r="Z450" s="87" t="str">
        <f>HYPERLINK("https://twitter.com/jte3j/status/1279698658028425216")</f>
        <v>https://twitter.com/jte3j/status/1279698658028425216</v>
      </c>
      <c r="AA450" s="84"/>
      <c r="AB450" s="84"/>
      <c r="AC450" s="92" t="s">
        <v>1427</v>
      </c>
      <c r="AD450" s="84"/>
      <c r="AE450" s="84" t="b">
        <v>0</v>
      </c>
      <c r="AF450" s="84">
        <v>0</v>
      </c>
      <c r="AG450" s="92" t="s">
        <v>1724</v>
      </c>
      <c r="AH450" s="84" t="b">
        <v>0</v>
      </c>
      <c r="AI450" s="84" t="s">
        <v>1750</v>
      </c>
      <c r="AJ450" s="84"/>
      <c r="AK450" s="92" t="s">
        <v>1724</v>
      </c>
      <c r="AL450" s="84" t="b">
        <v>0</v>
      </c>
      <c r="AM450" s="84">
        <v>0</v>
      </c>
      <c r="AN450" s="92" t="s">
        <v>1724</v>
      </c>
      <c r="AO450" s="84" t="s">
        <v>1763</v>
      </c>
      <c r="AP450" s="84" t="b">
        <v>0</v>
      </c>
      <c r="AQ450" s="92" t="s">
        <v>1427</v>
      </c>
      <c r="AR450" s="84" t="s">
        <v>179</v>
      </c>
      <c r="AS450" s="84">
        <v>0</v>
      </c>
      <c r="AT450" s="84">
        <v>0</v>
      </c>
      <c r="AU450" s="84"/>
      <c r="AV450" s="84"/>
      <c r="AW450" s="84"/>
      <c r="AX450" s="84"/>
      <c r="AY450" s="84"/>
      <c r="AZ450" s="84"/>
      <c r="BA450" s="84"/>
      <c r="BB450" s="84"/>
    </row>
    <row r="451" spans="1:54" x14ac:dyDescent="0.2">
      <c r="A451" s="69" t="s">
        <v>232</v>
      </c>
      <c r="B451" s="69" t="s">
        <v>232</v>
      </c>
      <c r="C451" s="70"/>
      <c r="D451" s="71"/>
      <c r="E451" s="72"/>
      <c r="F451" s="73"/>
      <c r="G451" s="70"/>
      <c r="H451" s="74"/>
      <c r="I451" s="75"/>
      <c r="J451" s="75"/>
      <c r="K451" s="36"/>
      <c r="L451" s="82"/>
      <c r="M451" s="82"/>
      <c r="N451" s="77"/>
      <c r="O451" s="84" t="s">
        <v>179</v>
      </c>
      <c r="P451" s="86">
        <v>44017.359085648146</v>
      </c>
      <c r="Q451" s="84" t="s">
        <v>515</v>
      </c>
      <c r="R451" s="84"/>
      <c r="S451" s="84"/>
      <c r="T451" s="84" t="s">
        <v>784</v>
      </c>
      <c r="U451" s="84"/>
      <c r="V451" s="87" t="str">
        <f>HYPERLINK("http://pbs.twimg.com/profile_images/1190264509577007104/NoELg3v7_normal.jpg")</f>
        <v>http://pbs.twimg.com/profile_images/1190264509577007104/NoELg3v7_normal.jpg</v>
      </c>
      <c r="W451" s="86">
        <v>44017.359085648146</v>
      </c>
      <c r="X451" s="90">
        <v>44017</v>
      </c>
      <c r="Y451" s="92" t="s">
        <v>878</v>
      </c>
      <c r="Z451" s="87" t="str">
        <f>HYPERLINK("https://twitter.com/hams1156/status/1279695783588007936")</f>
        <v>https://twitter.com/hams1156/status/1279695783588007936</v>
      </c>
      <c r="AA451" s="84"/>
      <c r="AB451" s="84"/>
      <c r="AC451" s="92" t="s">
        <v>1297</v>
      </c>
      <c r="AD451" s="84"/>
      <c r="AE451" s="84" t="b">
        <v>0</v>
      </c>
      <c r="AF451" s="84">
        <v>2</v>
      </c>
      <c r="AG451" s="92" t="s">
        <v>1724</v>
      </c>
      <c r="AH451" s="84" t="b">
        <v>0</v>
      </c>
      <c r="AI451" s="84" t="s">
        <v>1750</v>
      </c>
      <c r="AJ451" s="84"/>
      <c r="AK451" s="92" t="s">
        <v>1724</v>
      </c>
      <c r="AL451" s="84" t="b">
        <v>0</v>
      </c>
      <c r="AM451" s="84">
        <v>0</v>
      </c>
      <c r="AN451" s="92" t="s">
        <v>1724</v>
      </c>
      <c r="AO451" s="84" t="s">
        <v>1769</v>
      </c>
      <c r="AP451" s="84" t="b">
        <v>0</v>
      </c>
      <c r="AQ451" s="92" t="s">
        <v>1297</v>
      </c>
      <c r="AR451" s="84" t="s">
        <v>179</v>
      </c>
      <c r="AS451" s="84">
        <v>0</v>
      </c>
      <c r="AT451" s="84">
        <v>0</v>
      </c>
      <c r="AU451" s="84"/>
      <c r="AV451" s="84"/>
      <c r="AW451" s="84"/>
      <c r="AX451" s="84"/>
      <c r="AY451" s="84"/>
      <c r="AZ451" s="84"/>
      <c r="BA451" s="84"/>
      <c r="BB451" s="84"/>
    </row>
    <row r="452" spans="1:54" x14ac:dyDescent="0.2">
      <c r="A452" s="69" t="s">
        <v>344</v>
      </c>
      <c r="B452" s="69" t="s">
        <v>344</v>
      </c>
      <c r="C452" s="70"/>
      <c r="D452" s="71"/>
      <c r="E452" s="72"/>
      <c r="F452" s="73"/>
      <c r="G452" s="70"/>
      <c r="H452" s="74"/>
      <c r="I452" s="75"/>
      <c r="J452" s="75"/>
      <c r="K452" s="36"/>
      <c r="L452" s="82"/>
      <c r="M452" s="82"/>
      <c r="N452" s="77"/>
      <c r="O452" s="84" t="s">
        <v>179</v>
      </c>
      <c r="P452" s="86">
        <v>44017.353784722225</v>
      </c>
      <c r="Q452" s="84" t="s">
        <v>645</v>
      </c>
      <c r="R452" s="84"/>
      <c r="S452" s="84"/>
      <c r="T452" s="84" t="s">
        <v>781</v>
      </c>
      <c r="U452" s="87" t="str">
        <f>HYPERLINK("https://pbs.twimg.com/media/EcJitn9UMAIoCkp.jpg")</f>
        <v>https://pbs.twimg.com/media/EcJitn9UMAIoCkp.jpg</v>
      </c>
      <c r="V452" s="87" t="str">
        <f>HYPERLINK("https://pbs.twimg.com/media/EcJitn9UMAIoCkp.jpg")</f>
        <v>https://pbs.twimg.com/media/EcJitn9UMAIoCkp.jpg</v>
      </c>
      <c r="W452" s="86">
        <v>44017.353784722225</v>
      </c>
      <c r="X452" s="90">
        <v>44017</v>
      </c>
      <c r="Y452" s="92" t="s">
        <v>1042</v>
      </c>
      <c r="Z452" s="87" t="str">
        <f>HYPERLINK("https://twitter.com/radiusbit/status/1279693865688031234")</f>
        <v>https://twitter.com/radiusbit/status/1279693865688031234</v>
      </c>
      <c r="AA452" s="84"/>
      <c r="AB452" s="84"/>
      <c r="AC452" s="92" t="s">
        <v>1461</v>
      </c>
      <c r="AD452" s="84"/>
      <c r="AE452" s="84" t="b">
        <v>0</v>
      </c>
      <c r="AF452" s="84">
        <v>9</v>
      </c>
      <c r="AG452" s="92" t="s">
        <v>1724</v>
      </c>
      <c r="AH452" s="84" t="b">
        <v>0</v>
      </c>
      <c r="AI452" s="84" t="s">
        <v>1750</v>
      </c>
      <c r="AJ452" s="84"/>
      <c r="AK452" s="92" t="s">
        <v>1724</v>
      </c>
      <c r="AL452" s="84" t="b">
        <v>0</v>
      </c>
      <c r="AM452" s="84">
        <v>0</v>
      </c>
      <c r="AN452" s="92" t="s">
        <v>1724</v>
      </c>
      <c r="AO452" s="84" t="s">
        <v>1763</v>
      </c>
      <c r="AP452" s="84" t="b">
        <v>0</v>
      </c>
      <c r="AQ452" s="92" t="s">
        <v>1461</v>
      </c>
      <c r="AR452" s="84" t="s">
        <v>179</v>
      </c>
      <c r="AS452" s="84">
        <v>0</v>
      </c>
      <c r="AT452" s="84">
        <v>0</v>
      </c>
      <c r="AU452" s="84"/>
      <c r="AV452" s="84"/>
      <c r="AW452" s="84"/>
      <c r="AX452" s="84"/>
      <c r="AY452" s="84"/>
      <c r="AZ452" s="84"/>
      <c r="BA452" s="84"/>
      <c r="BB452" s="84"/>
    </row>
    <row r="453" spans="1:54" x14ac:dyDescent="0.2">
      <c r="A453" s="69" t="s">
        <v>258</v>
      </c>
      <c r="B453" s="69" t="s">
        <v>258</v>
      </c>
      <c r="C453" s="70"/>
      <c r="D453" s="71"/>
      <c r="E453" s="72"/>
      <c r="F453" s="73"/>
      <c r="G453" s="70"/>
      <c r="H453" s="74"/>
      <c r="I453" s="75"/>
      <c r="J453" s="75"/>
      <c r="K453" s="36"/>
      <c r="L453" s="82"/>
      <c r="M453" s="82"/>
      <c r="N453" s="77"/>
      <c r="O453" s="84" t="s">
        <v>179</v>
      </c>
      <c r="P453" s="86">
        <v>44017.330601851849</v>
      </c>
      <c r="Q453" s="84" t="s">
        <v>545</v>
      </c>
      <c r="R453" s="84"/>
      <c r="S453" s="84"/>
      <c r="T453" s="84" t="s">
        <v>781</v>
      </c>
      <c r="U453" s="84"/>
      <c r="V453" s="87" t="str">
        <f>HYPERLINK("http://pbs.twimg.com/profile_images/1212100775767203840/YdDlvpLz_normal.jpg")</f>
        <v>http://pbs.twimg.com/profile_images/1212100775767203840/YdDlvpLz_normal.jpg</v>
      </c>
      <c r="W453" s="86">
        <v>44017.330601851849</v>
      </c>
      <c r="X453" s="90">
        <v>44017</v>
      </c>
      <c r="Y453" s="92" t="s">
        <v>913</v>
      </c>
      <c r="Z453" s="87" t="str">
        <f>HYPERLINK("https://twitter.com/raymarines/status/1279685462643208193")</f>
        <v>https://twitter.com/raymarines/status/1279685462643208193</v>
      </c>
      <c r="AA453" s="84"/>
      <c r="AB453" s="84"/>
      <c r="AC453" s="92" t="s">
        <v>1332</v>
      </c>
      <c r="AD453" s="84"/>
      <c r="AE453" s="84" t="b">
        <v>0</v>
      </c>
      <c r="AF453" s="84">
        <v>0</v>
      </c>
      <c r="AG453" s="92" t="s">
        <v>1727</v>
      </c>
      <c r="AH453" s="84" t="b">
        <v>0</v>
      </c>
      <c r="AI453" s="84" t="s">
        <v>1750</v>
      </c>
      <c r="AJ453" s="84"/>
      <c r="AK453" s="92" t="s">
        <v>1724</v>
      </c>
      <c r="AL453" s="84" t="b">
        <v>0</v>
      </c>
      <c r="AM453" s="84">
        <v>0</v>
      </c>
      <c r="AN453" s="92" t="s">
        <v>1724</v>
      </c>
      <c r="AO453" s="84" t="s">
        <v>1763</v>
      </c>
      <c r="AP453" s="84" t="b">
        <v>0</v>
      </c>
      <c r="AQ453" s="92" t="s">
        <v>1332</v>
      </c>
      <c r="AR453" s="84" t="s">
        <v>179</v>
      </c>
      <c r="AS453" s="84">
        <v>0</v>
      </c>
      <c r="AT453" s="84">
        <v>0</v>
      </c>
      <c r="AU453" s="84"/>
      <c r="AV453" s="84"/>
      <c r="AW453" s="84"/>
      <c r="AX453" s="84"/>
      <c r="AY453" s="84"/>
      <c r="AZ453" s="84"/>
      <c r="BA453" s="84"/>
      <c r="BB453" s="84"/>
    </row>
    <row r="454" spans="1:54" x14ac:dyDescent="0.2">
      <c r="A454" s="69" t="s">
        <v>246</v>
      </c>
      <c r="B454" s="69" t="s">
        <v>246</v>
      </c>
      <c r="C454" s="70"/>
      <c r="D454" s="71"/>
      <c r="E454" s="72"/>
      <c r="F454" s="73"/>
      <c r="G454" s="70"/>
      <c r="H454" s="74"/>
      <c r="I454" s="75"/>
      <c r="J454" s="75"/>
      <c r="K454" s="36"/>
      <c r="L454" s="82"/>
      <c r="M454" s="82"/>
      <c r="N454" s="77"/>
      <c r="O454" s="84" t="s">
        <v>179</v>
      </c>
      <c r="P454" s="86">
        <v>44017.329976851855</v>
      </c>
      <c r="Q454" s="84" t="s">
        <v>529</v>
      </c>
      <c r="R454" s="84" t="s">
        <v>754</v>
      </c>
      <c r="S454" s="84" t="s">
        <v>760</v>
      </c>
      <c r="T454" s="84" t="s">
        <v>781</v>
      </c>
      <c r="U454" s="84"/>
      <c r="V454" s="87" t="str">
        <f>HYPERLINK("http://abs.twimg.com/sticky/default_profile_images/default_profile_normal.png")</f>
        <v>http://abs.twimg.com/sticky/default_profile_images/default_profile_normal.png</v>
      </c>
      <c r="W454" s="86">
        <v>44017.329976851855</v>
      </c>
      <c r="X454" s="90">
        <v>44017</v>
      </c>
      <c r="Y454" s="92" t="s">
        <v>894</v>
      </c>
      <c r="Z454" s="87" t="str">
        <f>HYPERLINK("https://twitter.com/kokyona/status/1279685237987930112")</f>
        <v>https://twitter.com/kokyona/status/1279685237987930112</v>
      </c>
      <c r="AA454" s="84"/>
      <c r="AB454" s="84"/>
      <c r="AC454" s="92" t="s">
        <v>1313</v>
      </c>
      <c r="AD454" s="84"/>
      <c r="AE454" s="84" t="b">
        <v>0</v>
      </c>
      <c r="AF454" s="84">
        <v>2</v>
      </c>
      <c r="AG454" s="92" t="s">
        <v>1724</v>
      </c>
      <c r="AH454" s="84" t="b">
        <v>1</v>
      </c>
      <c r="AI454" s="84" t="s">
        <v>1750</v>
      </c>
      <c r="AJ454" s="84"/>
      <c r="AK454" s="92" t="s">
        <v>1599</v>
      </c>
      <c r="AL454" s="84" t="b">
        <v>0</v>
      </c>
      <c r="AM454" s="84">
        <v>0</v>
      </c>
      <c r="AN454" s="92" t="s">
        <v>1724</v>
      </c>
      <c r="AO454" s="84" t="s">
        <v>1766</v>
      </c>
      <c r="AP454" s="84" t="b">
        <v>0</v>
      </c>
      <c r="AQ454" s="92" t="s">
        <v>1313</v>
      </c>
      <c r="AR454" s="84" t="s">
        <v>179</v>
      </c>
      <c r="AS454" s="84">
        <v>0</v>
      </c>
      <c r="AT454" s="84">
        <v>0</v>
      </c>
      <c r="AU454" s="84"/>
      <c r="AV454" s="84"/>
      <c r="AW454" s="84"/>
      <c r="AX454" s="84"/>
      <c r="AY454" s="84"/>
      <c r="AZ454" s="84"/>
      <c r="BA454" s="84"/>
      <c r="BB454" s="84"/>
    </row>
    <row r="455" spans="1:54" x14ac:dyDescent="0.2">
      <c r="A455" s="69" t="s">
        <v>400</v>
      </c>
      <c r="B455" s="69" t="s">
        <v>400</v>
      </c>
      <c r="C455" s="70"/>
      <c r="D455" s="71"/>
      <c r="E455" s="72"/>
      <c r="F455" s="73"/>
      <c r="G455" s="70"/>
      <c r="H455" s="74"/>
      <c r="I455" s="75"/>
      <c r="J455" s="75"/>
      <c r="K455" s="36"/>
      <c r="L455" s="82"/>
      <c r="M455" s="82"/>
      <c r="N455" s="77"/>
      <c r="O455" s="84" t="s">
        <v>179</v>
      </c>
      <c r="P455" s="86">
        <v>44017.312754629631</v>
      </c>
      <c r="Q455" s="84" t="s">
        <v>586</v>
      </c>
      <c r="R455" s="87" t="str">
        <f>HYPERLINK("https://m.facebook.com/anunknownkraftsman")</f>
        <v>https://m.facebook.com/anunknownkraftsman</v>
      </c>
      <c r="S455" s="84" t="s">
        <v>772</v>
      </c>
      <c r="T455" s="84" t="s">
        <v>842</v>
      </c>
      <c r="U455" s="84"/>
      <c r="V455" s="87" t="str">
        <f>HYPERLINK("http://pbs.twimg.com/profile_images/1142556013167632391/vMubfzN-_normal.jpg")</f>
        <v>http://pbs.twimg.com/profile_images/1142556013167632391/vMubfzN-_normal.jpg</v>
      </c>
      <c r="W455" s="86">
        <v>44017.312754629631</v>
      </c>
      <c r="X455" s="90">
        <v>44017</v>
      </c>
      <c r="Y455" s="92" t="s">
        <v>1128</v>
      </c>
      <c r="Z455" s="87" t="str">
        <f>HYPERLINK("https://twitter.com/hc_mmoor1868/status/1279678995311755264")</f>
        <v>https://twitter.com/hc_mmoor1868/status/1279678995311755264</v>
      </c>
      <c r="AA455" s="84"/>
      <c r="AB455" s="84"/>
      <c r="AC455" s="92" t="s">
        <v>1547</v>
      </c>
      <c r="AD455" s="84"/>
      <c r="AE455" s="84" t="b">
        <v>0</v>
      </c>
      <c r="AF455" s="84">
        <v>0</v>
      </c>
      <c r="AG455" s="92" t="s">
        <v>1724</v>
      </c>
      <c r="AH455" s="84" t="b">
        <v>0</v>
      </c>
      <c r="AI455" s="84" t="s">
        <v>1751</v>
      </c>
      <c r="AJ455" s="84"/>
      <c r="AK455" s="92" t="s">
        <v>1724</v>
      </c>
      <c r="AL455" s="84" t="b">
        <v>0</v>
      </c>
      <c r="AM455" s="84">
        <v>0</v>
      </c>
      <c r="AN455" s="92" t="s">
        <v>1724</v>
      </c>
      <c r="AO455" s="84" t="s">
        <v>1783</v>
      </c>
      <c r="AP455" s="84" t="b">
        <v>0</v>
      </c>
      <c r="AQ455" s="92" t="s">
        <v>1547</v>
      </c>
      <c r="AR455" s="84" t="s">
        <v>179</v>
      </c>
      <c r="AS455" s="84">
        <v>0</v>
      </c>
      <c r="AT455" s="84">
        <v>0</v>
      </c>
      <c r="AU455" s="84"/>
      <c r="AV455" s="84"/>
      <c r="AW455" s="84"/>
      <c r="AX455" s="84"/>
      <c r="AY455" s="84"/>
      <c r="AZ455" s="84"/>
      <c r="BA455" s="84"/>
      <c r="BB455" s="84"/>
    </row>
    <row r="456" spans="1:54" x14ac:dyDescent="0.2">
      <c r="A456" s="69" t="s">
        <v>231</v>
      </c>
      <c r="B456" s="69" t="s">
        <v>231</v>
      </c>
      <c r="C456" s="70"/>
      <c r="D456" s="71"/>
      <c r="E456" s="72"/>
      <c r="F456" s="73"/>
      <c r="G456" s="70"/>
      <c r="H456" s="74"/>
      <c r="I456" s="75"/>
      <c r="J456" s="75"/>
      <c r="K456" s="36"/>
      <c r="L456" s="82"/>
      <c r="M456" s="82"/>
      <c r="N456" s="77"/>
      <c r="O456" s="84" t="s">
        <v>179</v>
      </c>
      <c r="P456" s="86">
        <v>44017.269814814812</v>
      </c>
      <c r="Q456" s="84" t="s">
        <v>514</v>
      </c>
      <c r="R456" s="84"/>
      <c r="S456" s="84"/>
      <c r="T456" s="84" t="s">
        <v>781</v>
      </c>
      <c r="U456" s="87" t="str">
        <f>HYPERLINK("https://pbs.twimg.com/media/EcJG2V9UMAAXjy-.jpg")</f>
        <v>https://pbs.twimg.com/media/EcJG2V9UMAAXjy-.jpg</v>
      </c>
      <c r="V456" s="87" t="str">
        <f>HYPERLINK("https://pbs.twimg.com/media/EcJG2V9UMAAXjy-.jpg")</f>
        <v>https://pbs.twimg.com/media/EcJG2V9UMAAXjy-.jpg</v>
      </c>
      <c r="W456" s="86">
        <v>44017.269814814812</v>
      </c>
      <c r="X456" s="90">
        <v>44017</v>
      </c>
      <c r="Y456" s="92" t="s">
        <v>877</v>
      </c>
      <c r="Z456" s="87" t="str">
        <f>HYPERLINK("https://twitter.com/gurumwu/status/1279663434162778114")</f>
        <v>https://twitter.com/gurumwu/status/1279663434162778114</v>
      </c>
      <c r="AA456" s="84"/>
      <c r="AB456" s="84"/>
      <c r="AC456" s="92" t="s">
        <v>1296</v>
      </c>
      <c r="AD456" s="84"/>
      <c r="AE456" s="84" t="b">
        <v>0</v>
      </c>
      <c r="AF456" s="84">
        <v>2</v>
      </c>
      <c r="AG456" s="92" t="s">
        <v>1724</v>
      </c>
      <c r="AH456" s="84" t="b">
        <v>0</v>
      </c>
      <c r="AI456" s="84" t="s">
        <v>1750</v>
      </c>
      <c r="AJ456" s="84"/>
      <c r="AK456" s="92" t="s">
        <v>1724</v>
      </c>
      <c r="AL456" s="84" t="b">
        <v>0</v>
      </c>
      <c r="AM456" s="84">
        <v>0</v>
      </c>
      <c r="AN456" s="92" t="s">
        <v>1724</v>
      </c>
      <c r="AO456" s="84" t="s">
        <v>1764</v>
      </c>
      <c r="AP456" s="84" t="b">
        <v>0</v>
      </c>
      <c r="AQ456" s="92" t="s">
        <v>1296</v>
      </c>
      <c r="AR456" s="84" t="s">
        <v>179</v>
      </c>
      <c r="AS456" s="84">
        <v>0</v>
      </c>
      <c r="AT456" s="84">
        <v>0</v>
      </c>
      <c r="AU456" s="84"/>
      <c r="AV456" s="84"/>
      <c r="AW456" s="84"/>
      <c r="AX456" s="84"/>
      <c r="AY456" s="84"/>
      <c r="AZ456" s="84"/>
      <c r="BA456" s="84"/>
      <c r="BB456" s="84"/>
    </row>
    <row r="457" spans="1:54" x14ac:dyDescent="0.2">
      <c r="A457" s="69" t="s">
        <v>365</v>
      </c>
      <c r="B457" s="69" t="s">
        <v>365</v>
      </c>
      <c r="C457" s="70"/>
      <c r="D457" s="71"/>
      <c r="E457" s="72"/>
      <c r="F457" s="73"/>
      <c r="G457" s="70"/>
      <c r="H457" s="74"/>
      <c r="I457" s="75"/>
      <c r="J457" s="75"/>
      <c r="K457" s="36"/>
      <c r="L457" s="82"/>
      <c r="M457" s="82"/>
      <c r="N457" s="77"/>
      <c r="O457" s="84" t="s">
        <v>179</v>
      </c>
      <c r="P457" s="86">
        <v>44017.240231481483</v>
      </c>
      <c r="Q457" s="84" t="s">
        <v>674</v>
      </c>
      <c r="R457" s="84"/>
      <c r="S457" s="84"/>
      <c r="T457" s="84" t="s">
        <v>781</v>
      </c>
      <c r="U457" s="87" t="str">
        <f>HYPERLINK("https://pbs.twimg.com/media/EcI9T3BUYAA2Qxu.jpg")</f>
        <v>https://pbs.twimg.com/media/EcI9T3BUYAA2Qxu.jpg</v>
      </c>
      <c r="V457" s="87" t="str">
        <f>HYPERLINK("https://pbs.twimg.com/media/EcI9T3BUYAA2Qxu.jpg")</f>
        <v>https://pbs.twimg.com/media/EcI9T3BUYAA2Qxu.jpg</v>
      </c>
      <c r="W457" s="86">
        <v>44017.240231481483</v>
      </c>
      <c r="X457" s="90">
        <v>44017</v>
      </c>
      <c r="Y457" s="92" t="s">
        <v>1089</v>
      </c>
      <c r="Z457" s="87" t="str">
        <f>HYPERLINK("https://twitter.com/tera7998/status/1279652715178496000")</f>
        <v>https://twitter.com/tera7998/status/1279652715178496000</v>
      </c>
      <c r="AA457" s="84"/>
      <c r="AB457" s="84"/>
      <c r="AC457" s="92" t="s">
        <v>1508</v>
      </c>
      <c r="AD457" s="84"/>
      <c r="AE457" s="84" t="b">
        <v>0</v>
      </c>
      <c r="AF457" s="84">
        <v>8</v>
      </c>
      <c r="AG457" s="92" t="s">
        <v>1724</v>
      </c>
      <c r="AH457" s="84" t="b">
        <v>0</v>
      </c>
      <c r="AI457" s="84" t="s">
        <v>1750</v>
      </c>
      <c r="AJ457" s="84"/>
      <c r="AK457" s="92" t="s">
        <v>1724</v>
      </c>
      <c r="AL457" s="84" t="b">
        <v>0</v>
      </c>
      <c r="AM457" s="84">
        <v>0</v>
      </c>
      <c r="AN457" s="92" t="s">
        <v>1724</v>
      </c>
      <c r="AO457" s="84" t="s">
        <v>1764</v>
      </c>
      <c r="AP457" s="84" t="b">
        <v>0</v>
      </c>
      <c r="AQ457" s="92" t="s">
        <v>1508</v>
      </c>
      <c r="AR457" s="84" t="s">
        <v>179</v>
      </c>
      <c r="AS457" s="84">
        <v>0</v>
      </c>
      <c r="AT457" s="84">
        <v>0</v>
      </c>
      <c r="AU457" s="84"/>
      <c r="AV457" s="84"/>
      <c r="AW457" s="84"/>
      <c r="AX457" s="84"/>
      <c r="AY457" s="84"/>
      <c r="AZ457" s="84"/>
      <c r="BA457" s="84"/>
      <c r="BB457" s="84"/>
    </row>
    <row r="458" spans="1:54" x14ac:dyDescent="0.2">
      <c r="A458" s="69" t="s">
        <v>230</v>
      </c>
      <c r="B458" s="69" t="s">
        <v>230</v>
      </c>
      <c r="C458" s="70"/>
      <c r="D458" s="71"/>
      <c r="E458" s="72"/>
      <c r="F458" s="73"/>
      <c r="G458" s="70"/>
      <c r="H458" s="74"/>
      <c r="I458" s="75"/>
      <c r="J458" s="75"/>
      <c r="K458" s="36"/>
      <c r="L458" s="82"/>
      <c r="M458" s="82"/>
      <c r="N458" s="77"/>
      <c r="O458" s="84" t="s">
        <v>179</v>
      </c>
      <c r="P458" s="86">
        <v>44017.206111111111</v>
      </c>
      <c r="Q458" s="84" t="s">
        <v>513</v>
      </c>
      <c r="R458" s="87" t="str">
        <f>HYPERLINK("https://www.youtube.com/watch?v=7NEEgb1dyNI&amp;feature=youtu.be")</f>
        <v>https://www.youtube.com/watch?v=7NEEgb1dyNI&amp;feature=youtu.be</v>
      </c>
      <c r="S458" s="84" t="s">
        <v>757</v>
      </c>
      <c r="T458" s="84" t="s">
        <v>783</v>
      </c>
      <c r="U458" s="84"/>
      <c r="V458" s="87" t="str">
        <f>HYPERLINK("http://pbs.twimg.com/profile_images/715216498357350400/3qCOSxy8_normal.jpg")</f>
        <v>http://pbs.twimg.com/profile_images/715216498357350400/3qCOSxy8_normal.jpg</v>
      </c>
      <c r="W458" s="86">
        <v>44017.206111111111</v>
      </c>
      <c r="X458" s="90">
        <v>44017</v>
      </c>
      <c r="Y458" s="92" t="s">
        <v>876</v>
      </c>
      <c r="Z458" s="87" t="str">
        <f>HYPERLINK("https://twitter.com/borisgonschorek/status/1279640350378864641")</f>
        <v>https://twitter.com/borisgonschorek/status/1279640350378864641</v>
      </c>
      <c r="AA458" s="84"/>
      <c r="AB458" s="84"/>
      <c r="AC458" s="92" t="s">
        <v>1295</v>
      </c>
      <c r="AD458" s="84"/>
      <c r="AE458" s="84" t="b">
        <v>0</v>
      </c>
      <c r="AF458" s="84">
        <v>0</v>
      </c>
      <c r="AG458" s="92" t="s">
        <v>1724</v>
      </c>
      <c r="AH458" s="84" t="b">
        <v>0</v>
      </c>
      <c r="AI458" s="84" t="s">
        <v>1753</v>
      </c>
      <c r="AJ458" s="84"/>
      <c r="AK458" s="92" t="s">
        <v>1724</v>
      </c>
      <c r="AL458" s="84" t="b">
        <v>0</v>
      </c>
      <c r="AM458" s="84">
        <v>0</v>
      </c>
      <c r="AN458" s="92" t="s">
        <v>1724</v>
      </c>
      <c r="AO458" s="84" t="s">
        <v>1764</v>
      </c>
      <c r="AP458" s="84" t="b">
        <v>0</v>
      </c>
      <c r="AQ458" s="92" t="s">
        <v>1295</v>
      </c>
      <c r="AR458" s="84" t="s">
        <v>179</v>
      </c>
      <c r="AS458" s="84">
        <v>0</v>
      </c>
      <c r="AT458" s="84">
        <v>0</v>
      </c>
      <c r="AU458" s="84"/>
      <c r="AV458" s="84"/>
      <c r="AW458" s="84"/>
      <c r="AX458" s="84"/>
      <c r="AY458" s="84"/>
      <c r="AZ458" s="84"/>
      <c r="BA458" s="84"/>
      <c r="BB458" s="84"/>
    </row>
    <row r="459" spans="1:54" x14ac:dyDescent="0.2">
      <c r="A459" s="69" t="s">
        <v>230</v>
      </c>
      <c r="B459" s="69" t="s">
        <v>230</v>
      </c>
      <c r="C459" s="70"/>
      <c r="D459" s="71"/>
      <c r="E459" s="72"/>
      <c r="F459" s="73"/>
      <c r="G459" s="70"/>
      <c r="H459" s="74"/>
      <c r="I459" s="75"/>
      <c r="J459" s="75"/>
      <c r="K459" s="36"/>
      <c r="L459" s="82"/>
      <c r="M459" s="82"/>
      <c r="N459" s="77"/>
      <c r="O459" s="84" t="s">
        <v>179</v>
      </c>
      <c r="P459" s="86">
        <v>44017.203344907408</v>
      </c>
      <c r="Q459" s="84" t="s">
        <v>512</v>
      </c>
      <c r="R459" s="87" t="str">
        <f>HYPERLINK("https://www.youtube.com/watch?v=wwFRQi-Fpqw&amp;feature=youtu.be")</f>
        <v>https://www.youtube.com/watch?v=wwFRQi-Fpqw&amp;feature=youtu.be</v>
      </c>
      <c r="S459" s="84" t="s">
        <v>757</v>
      </c>
      <c r="T459" s="84" t="s">
        <v>781</v>
      </c>
      <c r="U459" s="84"/>
      <c r="V459" s="87" t="str">
        <f>HYPERLINK("http://pbs.twimg.com/profile_images/715216498357350400/3qCOSxy8_normal.jpg")</f>
        <v>http://pbs.twimg.com/profile_images/715216498357350400/3qCOSxy8_normal.jpg</v>
      </c>
      <c r="W459" s="86">
        <v>44017.203344907408</v>
      </c>
      <c r="X459" s="90">
        <v>44017</v>
      </c>
      <c r="Y459" s="92" t="s">
        <v>875</v>
      </c>
      <c r="Z459" s="87" t="str">
        <f>HYPERLINK("https://twitter.com/borisgonschorek/status/1279639347101405184")</f>
        <v>https://twitter.com/borisgonschorek/status/1279639347101405184</v>
      </c>
      <c r="AA459" s="84"/>
      <c r="AB459" s="84"/>
      <c r="AC459" s="92" t="s">
        <v>1294</v>
      </c>
      <c r="AD459" s="84"/>
      <c r="AE459" s="84" t="b">
        <v>0</v>
      </c>
      <c r="AF459" s="84">
        <v>1</v>
      </c>
      <c r="AG459" s="92" t="s">
        <v>1724</v>
      </c>
      <c r="AH459" s="84" t="b">
        <v>0</v>
      </c>
      <c r="AI459" s="84" t="s">
        <v>1752</v>
      </c>
      <c r="AJ459" s="84"/>
      <c r="AK459" s="92" t="s">
        <v>1724</v>
      </c>
      <c r="AL459" s="84" t="b">
        <v>0</v>
      </c>
      <c r="AM459" s="84">
        <v>0</v>
      </c>
      <c r="AN459" s="92" t="s">
        <v>1724</v>
      </c>
      <c r="AO459" s="84" t="s">
        <v>1764</v>
      </c>
      <c r="AP459" s="84" t="b">
        <v>0</v>
      </c>
      <c r="AQ459" s="92" t="s">
        <v>1294</v>
      </c>
      <c r="AR459" s="84" t="s">
        <v>179</v>
      </c>
      <c r="AS459" s="84">
        <v>0</v>
      </c>
      <c r="AT459" s="84">
        <v>0</v>
      </c>
      <c r="AU459" s="84"/>
      <c r="AV459" s="84"/>
      <c r="AW459" s="84"/>
      <c r="AX459" s="84"/>
      <c r="AY459" s="84"/>
      <c r="AZ459" s="84"/>
      <c r="BA459" s="84"/>
      <c r="BB459" s="84"/>
    </row>
    <row r="460" spans="1:54" x14ac:dyDescent="0.2">
      <c r="A460" s="69" t="s">
        <v>410</v>
      </c>
      <c r="B460" s="69" t="s">
        <v>410</v>
      </c>
      <c r="C460" s="70"/>
      <c r="D460" s="71"/>
      <c r="E460" s="72"/>
      <c r="F460" s="73"/>
      <c r="G460" s="70"/>
      <c r="H460" s="74"/>
      <c r="I460" s="75"/>
      <c r="J460" s="75"/>
      <c r="K460" s="36"/>
      <c r="L460" s="82"/>
      <c r="M460" s="82"/>
      <c r="N460" s="77"/>
      <c r="O460" s="84" t="s">
        <v>179</v>
      </c>
      <c r="P460" s="86">
        <v>44017.191238425927</v>
      </c>
      <c r="Q460" s="84" t="s">
        <v>709</v>
      </c>
      <c r="R460" s="84"/>
      <c r="S460" s="84"/>
      <c r="T460" s="84" t="s">
        <v>781</v>
      </c>
      <c r="U460" s="87" t="str">
        <f>HYPERLINK("https://pbs.twimg.com/media/EcIsMP-UMAEhstm.jpg")</f>
        <v>https://pbs.twimg.com/media/EcIsMP-UMAEhstm.jpg</v>
      </c>
      <c r="V460" s="87" t="str">
        <f>HYPERLINK("https://pbs.twimg.com/media/EcIsMP-UMAEhstm.jpg")</f>
        <v>https://pbs.twimg.com/media/EcIsMP-UMAEhstm.jpg</v>
      </c>
      <c r="W460" s="86">
        <v>44017.191238425927</v>
      </c>
      <c r="X460" s="90">
        <v>44017</v>
      </c>
      <c r="Y460" s="92" t="s">
        <v>1178</v>
      </c>
      <c r="Z460" s="87" t="str">
        <f>HYPERLINK("https://twitter.com/momo99momo1/status/1279634959196581888")</f>
        <v>https://twitter.com/momo99momo1/status/1279634959196581888</v>
      </c>
      <c r="AA460" s="84"/>
      <c r="AB460" s="84"/>
      <c r="AC460" s="92" t="s">
        <v>1599</v>
      </c>
      <c r="AD460" s="84"/>
      <c r="AE460" s="84" t="b">
        <v>0</v>
      </c>
      <c r="AF460" s="84">
        <v>1</v>
      </c>
      <c r="AG460" s="92" t="s">
        <v>1724</v>
      </c>
      <c r="AH460" s="84" t="b">
        <v>0</v>
      </c>
      <c r="AI460" s="84" t="s">
        <v>1750</v>
      </c>
      <c r="AJ460" s="84"/>
      <c r="AK460" s="92" t="s">
        <v>1724</v>
      </c>
      <c r="AL460" s="84" t="b">
        <v>0</v>
      </c>
      <c r="AM460" s="84">
        <v>0</v>
      </c>
      <c r="AN460" s="92" t="s">
        <v>1724</v>
      </c>
      <c r="AO460" s="84" t="s">
        <v>1766</v>
      </c>
      <c r="AP460" s="84" t="b">
        <v>0</v>
      </c>
      <c r="AQ460" s="92" t="s">
        <v>1599</v>
      </c>
      <c r="AR460" s="84" t="s">
        <v>179</v>
      </c>
      <c r="AS460" s="84">
        <v>0</v>
      </c>
      <c r="AT460" s="84">
        <v>0</v>
      </c>
      <c r="AU460" s="84"/>
      <c r="AV460" s="84"/>
      <c r="AW460" s="84"/>
      <c r="AX460" s="84"/>
      <c r="AY460" s="84"/>
      <c r="AZ460" s="84"/>
      <c r="BA460" s="84"/>
      <c r="BB460" s="84"/>
    </row>
    <row r="461" spans="1:54" x14ac:dyDescent="0.2">
      <c r="A461" s="69" t="s">
        <v>229</v>
      </c>
      <c r="B461" s="69" t="s">
        <v>228</v>
      </c>
      <c r="C461" s="70"/>
      <c r="D461" s="71"/>
      <c r="E461" s="72"/>
      <c r="F461" s="73"/>
      <c r="G461" s="70"/>
      <c r="H461" s="74"/>
      <c r="I461" s="75"/>
      <c r="J461" s="75"/>
      <c r="K461" s="36"/>
      <c r="L461" s="82"/>
      <c r="M461" s="82"/>
      <c r="N461" s="77"/>
      <c r="O461" s="84" t="s">
        <v>500</v>
      </c>
      <c r="P461" s="86">
        <v>44017.149502314816</v>
      </c>
      <c r="Q461" s="84" t="s">
        <v>510</v>
      </c>
      <c r="R461" s="84"/>
      <c r="S461" s="84"/>
      <c r="T461" s="84"/>
      <c r="U461" s="84"/>
      <c r="V461" s="87" t="str">
        <f>HYPERLINK("http://pbs.twimg.com/profile_images/716707518194589696/ZJr4qLNR_normal.jpg")</f>
        <v>http://pbs.twimg.com/profile_images/716707518194589696/ZJr4qLNR_normal.jpg</v>
      </c>
      <c r="W461" s="86">
        <v>44017.149502314816</v>
      </c>
      <c r="X461" s="90">
        <v>44017</v>
      </c>
      <c r="Y461" s="92" t="s">
        <v>874</v>
      </c>
      <c r="Z461" s="87" t="str">
        <f>HYPERLINK("https://twitter.com/bdcc340sb/status/1279619833160585216")</f>
        <v>https://twitter.com/bdcc340sb/status/1279619833160585216</v>
      </c>
      <c r="AA461" s="84"/>
      <c r="AB461" s="84"/>
      <c r="AC461" s="92" t="s">
        <v>1293</v>
      </c>
      <c r="AD461" s="84"/>
      <c r="AE461" s="84" t="b">
        <v>0</v>
      </c>
      <c r="AF461" s="84">
        <v>0</v>
      </c>
      <c r="AG461" s="92" t="s">
        <v>1724</v>
      </c>
      <c r="AH461" s="84" t="b">
        <v>0</v>
      </c>
      <c r="AI461" s="84" t="s">
        <v>1751</v>
      </c>
      <c r="AJ461" s="84"/>
      <c r="AK461" s="92" t="s">
        <v>1724</v>
      </c>
      <c r="AL461" s="84" t="b">
        <v>0</v>
      </c>
      <c r="AM461" s="84">
        <v>5</v>
      </c>
      <c r="AN461" s="92" t="s">
        <v>1292</v>
      </c>
      <c r="AO461" s="84" t="s">
        <v>1768</v>
      </c>
      <c r="AP461" s="84" t="b">
        <v>0</v>
      </c>
      <c r="AQ461" s="92" t="s">
        <v>1292</v>
      </c>
      <c r="AR461" s="84" t="s">
        <v>179</v>
      </c>
      <c r="AS461" s="84">
        <v>0</v>
      </c>
      <c r="AT461" s="84">
        <v>0</v>
      </c>
      <c r="AU461" s="84"/>
      <c r="AV461" s="84"/>
      <c r="AW461" s="84"/>
      <c r="AX461" s="84"/>
      <c r="AY461" s="84"/>
      <c r="AZ461" s="84"/>
      <c r="BA461" s="84"/>
      <c r="BB461" s="84"/>
    </row>
    <row r="462" spans="1:54" x14ac:dyDescent="0.2">
      <c r="A462" s="69" t="s">
        <v>438</v>
      </c>
      <c r="B462" s="69" t="s">
        <v>438</v>
      </c>
      <c r="C462" s="70"/>
      <c r="D462" s="71"/>
      <c r="E462" s="72"/>
      <c r="F462" s="73"/>
      <c r="G462" s="70"/>
      <c r="H462" s="74"/>
      <c r="I462" s="75"/>
      <c r="J462" s="75"/>
      <c r="K462" s="36"/>
      <c r="L462" s="82"/>
      <c r="M462" s="82"/>
      <c r="N462" s="77"/>
      <c r="O462" s="84" t="s">
        <v>179</v>
      </c>
      <c r="P462" s="86">
        <v>44017.147546296299</v>
      </c>
      <c r="Q462" s="84" t="s">
        <v>726</v>
      </c>
      <c r="R462" s="84"/>
      <c r="S462" s="84"/>
      <c r="T462" s="84" t="s">
        <v>853</v>
      </c>
      <c r="U462" s="87" t="str">
        <f>HYPERLINK("https://pbs.twimg.com/media/EcIez_aUwAAePHo.jpg")</f>
        <v>https://pbs.twimg.com/media/EcIez_aUwAAePHo.jpg</v>
      </c>
      <c r="V462" s="87" t="str">
        <f>HYPERLINK("https://pbs.twimg.com/media/EcIez_aUwAAePHo.jpg")</f>
        <v>https://pbs.twimg.com/media/EcIez_aUwAAePHo.jpg</v>
      </c>
      <c r="W462" s="86">
        <v>44017.147546296299</v>
      </c>
      <c r="X462" s="90">
        <v>44017</v>
      </c>
      <c r="Y462" s="92" t="s">
        <v>1214</v>
      </c>
      <c r="Z462" s="87" t="str">
        <f>HYPERLINK("https://twitter.com/ueji24/status/1279619127850659840")</f>
        <v>https://twitter.com/ueji24/status/1279619127850659840</v>
      </c>
      <c r="AA462" s="84"/>
      <c r="AB462" s="84"/>
      <c r="AC462" s="92" t="s">
        <v>1635</v>
      </c>
      <c r="AD462" s="84"/>
      <c r="AE462" s="84" t="b">
        <v>0</v>
      </c>
      <c r="AF462" s="84">
        <v>5</v>
      </c>
      <c r="AG462" s="92" t="s">
        <v>1724</v>
      </c>
      <c r="AH462" s="84" t="b">
        <v>0</v>
      </c>
      <c r="AI462" s="84" t="s">
        <v>1750</v>
      </c>
      <c r="AJ462" s="84"/>
      <c r="AK462" s="92" t="s">
        <v>1724</v>
      </c>
      <c r="AL462" s="84" t="b">
        <v>0</v>
      </c>
      <c r="AM462" s="84">
        <v>0</v>
      </c>
      <c r="AN462" s="92" t="s">
        <v>1724</v>
      </c>
      <c r="AO462" s="84" t="s">
        <v>1764</v>
      </c>
      <c r="AP462" s="84" t="b">
        <v>0</v>
      </c>
      <c r="AQ462" s="92" t="s">
        <v>1635</v>
      </c>
      <c r="AR462" s="84" t="s">
        <v>179</v>
      </c>
      <c r="AS462" s="84">
        <v>0</v>
      </c>
      <c r="AT462" s="84">
        <v>0</v>
      </c>
      <c r="AU462" s="84"/>
      <c r="AV462" s="84"/>
      <c r="AW462" s="84"/>
      <c r="AX462" s="84"/>
      <c r="AY462" s="84"/>
      <c r="AZ462" s="84"/>
      <c r="BA462" s="84"/>
      <c r="BB462" s="84"/>
    </row>
    <row r="463" spans="1:54" x14ac:dyDescent="0.2">
      <c r="A463" s="69" t="s">
        <v>436</v>
      </c>
      <c r="B463" s="69" t="s">
        <v>436</v>
      </c>
      <c r="C463" s="70"/>
      <c r="D463" s="71"/>
      <c r="E463" s="72"/>
      <c r="F463" s="73"/>
      <c r="G463" s="70"/>
      <c r="H463" s="74"/>
      <c r="I463" s="75"/>
      <c r="J463" s="75"/>
      <c r="K463" s="36"/>
      <c r="L463" s="82"/>
      <c r="M463" s="82"/>
      <c r="N463" s="77"/>
      <c r="O463" s="84" t="s">
        <v>179</v>
      </c>
      <c r="P463" s="86">
        <v>44017.142881944441</v>
      </c>
      <c r="Q463" s="84" t="s">
        <v>734</v>
      </c>
      <c r="R463" s="84"/>
      <c r="S463" s="84"/>
      <c r="T463" s="84" t="s">
        <v>781</v>
      </c>
      <c r="U463" s="87" t="str">
        <f>HYPERLINK("https://pbs.twimg.com/media/EcIdRiWUEAAW3Ka.jpg")</f>
        <v>https://pbs.twimg.com/media/EcIdRiWUEAAW3Ka.jpg</v>
      </c>
      <c r="V463" s="87" t="str">
        <f>HYPERLINK("https://pbs.twimg.com/media/EcIdRiWUEAAW3Ka.jpg")</f>
        <v>https://pbs.twimg.com/media/EcIdRiWUEAAW3Ka.jpg</v>
      </c>
      <c r="W463" s="86">
        <v>44017.142881944441</v>
      </c>
      <c r="X463" s="90">
        <v>44017</v>
      </c>
      <c r="Y463" s="92" t="s">
        <v>1227</v>
      </c>
      <c r="Z463" s="87" t="str">
        <f>HYPERLINK("https://twitter.com/waiwai5321/status/1279617436505878528")</f>
        <v>https://twitter.com/waiwai5321/status/1279617436505878528</v>
      </c>
      <c r="AA463" s="84"/>
      <c r="AB463" s="84"/>
      <c r="AC463" s="92" t="s">
        <v>1648</v>
      </c>
      <c r="AD463" s="84"/>
      <c r="AE463" s="84" t="b">
        <v>0</v>
      </c>
      <c r="AF463" s="84">
        <v>0</v>
      </c>
      <c r="AG463" s="92" t="s">
        <v>1724</v>
      </c>
      <c r="AH463" s="84" t="b">
        <v>0</v>
      </c>
      <c r="AI463" s="84" t="s">
        <v>1750</v>
      </c>
      <c r="AJ463" s="84"/>
      <c r="AK463" s="92" t="s">
        <v>1724</v>
      </c>
      <c r="AL463" s="84" t="b">
        <v>0</v>
      </c>
      <c r="AM463" s="84">
        <v>0</v>
      </c>
      <c r="AN463" s="92" t="s">
        <v>1724</v>
      </c>
      <c r="AO463" s="84" t="s">
        <v>1763</v>
      </c>
      <c r="AP463" s="84" t="b">
        <v>0</v>
      </c>
      <c r="AQ463" s="92" t="s">
        <v>1648</v>
      </c>
      <c r="AR463" s="84" t="s">
        <v>179</v>
      </c>
      <c r="AS463" s="84">
        <v>0</v>
      </c>
      <c r="AT463" s="84">
        <v>0</v>
      </c>
      <c r="AU463" s="84"/>
      <c r="AV463" s="84"/>
      <c r="AW463" s="84"/>
      <c r="AX463" s="84"/>
      <c r="AY463" s="84"/>
      <c r="AZ463" s="84"/>
      <c r="BA463" s="84"/>
      <c r="BB463" s="84"/>
    </row>
    <row r="464" spans="1:54" x14ac:dyDescent="0.2">
      <c r="A464" s="69" t="s">
        <v>227</v>
      </c>
      <c r="B464" s="69" t="s">
        <v>228</v>
      </c>
      <c r="C464" s="70"/>
      <c r="D464" s="71"/>
      <c r="E464" s="72"/>
      <c r="F464" s="73"/>
      <c r="G464" s="70"/>
      <c r="H464" s="74"/>
      <c r="I464" s="75"/>
      <c r="J464" s="75"/>
      <c r="K464" s="36"/>
      <c r="L464" s="82"/>
      <c r="M464" s="82"/>
      <c r="N464" s="77"/>
      <c r="O464" s="84" t="s">
        <v>500</v>
      </c>
      <c r="P464" s="86">
        <v>44017.132453703707</v>
      </c>
      <c r="Q464" s="84" t="s">
        <v>510</v>
      </c>
      <c r="R464" s="84"/>
      <c r="S464" s="84"/>
      <c r="T464" s="84"/>
      <c r="U464" s="84"/>
      <c r="V464" s="87" t="str">
        <f>HYPERLINK("http://pbs.twimg.com/profile_images/1266115905819308032/D1E9YnIX_normal.jpg")</f>
        <v>http://pbs.twimg.com/profile_images/1266115905819308032/D1E9YnIX_normal.jpg</v>
      </c>
      <c r="W464" s="86">
        <v>44017.132453703707</v>
      </c>
      <c r="X464" s="90">
        <v>44017</v>
      </c>
      <c r="Y464" s="92" t="s">
        <v>872</v>
      </c>
      <c r="Z464" s="87" t="str">
        <f>HYPERLINK("https://twitter.com/harrytr02640104/status/1279613657828098049")</f>
        <v>https://twitter.com/harrytr02640104/status/1279613657828098049</v>
      </c>
      <c r="AA464" s="84"/>
      <c r="AB464" s="84"/>
      <c r="AC464" s="92" t="s">
        <v>1291</v>
      </c>
      <c r="AD464" s="84"/>
      <c r="AE464" s="84" t="b">
        <v>0</v>
      </c>
      <c r="AF464" s="84">
        <v>0</v>
      </c>
      <c r="AG464" s="92" t="s">
        <v>1724</v>
      </c>
      <c r="AH464" s="84" t="b">
        <v>0</v>
      </c>
      <c r="AI464" s="84" t="s">
        <v>1751</v>
      </c>
      <c r="AJ464" s="84"/>
      <c r="AK464" s="92" t="s">
        <v>1724</v>
      </c>
      <c r="AL464" s="84" t="b">
        <v>0</v>
      </c>
      <c r="AM464" s="84">
        <v>5</v>
      </c>
      <c r="AN464" s="92" t="s">
        <v>1292</v>
      </c>
      <c r="AO464" s="84" t="s">
        <v>1764</v>
      </c>
      <c r="AP464" s="84" t="b">
        <v>0</v>
      </c>
      <c r="AQ464" s="92" t="s">
        <v>1292</v>
      </c>
      <c r="AR464" s="84" t="s">
        <v>179</v>
      </c>
      <c r="AS464" s="84">
        <v>0</v>
      </c>
      <c r="AT464" s="84">
        <v>0</v>
      </c>
      <c r="AU464" s="84"/>
      <c r="AV464" s="84"/>
      <c r="AW464" s="84"/>
      <c r="AX464" s="84"/>
      <c r="AY464" s="84"/>
      <c r="AZ464" s="84"/>
      <c r="BA464" s="84"/>
      <c r="BB464" s="84"/>
    </row>
    <row r="465" spans="1:54" x14ac:dyDescent="0.2">
      <c r="A465" s="69" t="s">
        <v>260</v>
      </c>
      <c r="B465" s="69" t="s">
        <v>260</v>
      </c>
      <c r="C465" s="70"/>
      <c r="D465" s="71"/>
      <c r="E465" s="72"/>
      <c r="F465" s="73"/>
      <c r="G465" s="70"/>
      <c r="H465" s="74"/>
      <c r="I465" s="75"/>
      <c r="J465" s="75"/>
      <c r="K465" s="36"/>
      <c r="L465" s="82"/>
      <c r="M465" s="82"/>
      <c r="N465" s="77"/>
      <c r="O465" s="84" t="s">
        <v>179</v>
      </c>
      <c r="P465" s="86">
        <v>44017.107407407406</v>
      </c>
      <c r="Q465" s="84" t="s">
        <v>548</v>
      </c>
      <c r="R465" s="84"/>
      <c r="S465" s="84"/>
      <c r="T465" s="84" t="s">
        <v>789</v>
      </c>
      <c r="U465" s="84"/>
      <c r="V465" s="87" t="str">
        <f>HYPERLINK("http://pbs.twimg.com/profile_images/713412359318929408/k2-xh3CX_normal.jpg")</f>
        <v>http://pbs.twimg.com/profile_images/713412359318929408/k2-xh3CX_normal.jpg</v>
      </c>
      <c r="W465" s="86">
        <v>44017.107407407406</v>
      </c>
      <c r="X465" s="90">
        <v>44017</v>
      </c>
      <c r="Y465" s="92" t="s">
        <v>916</v>
      </c>
      <c r="Z465" s="87" t="str">
        <f>HYPERLINK("https://twitter.com/o0e_k0o/status/1279604582075654145")</f>
        <v>https://twitter.com/o0e_k0o/status/1279604582075654145</v>
      </c>
      <c r="AA465" s="84"/>
      <c r="AB465" s="84"/>
      <c r="AC465" s="92" t="s">
        <v>1335</v>
      </c>
      <c r="AD465" s="84"/>
      <c r="AE465" s="84" t="b">
        <v>0</v>
      </c>
      <c r="AF465" s="84">
        <v>3</v>
      </c>
      <c r="AG465" s="92" t="s">
        <v>1724</v>
      </c>
      <c r="AH465" s="84" t="b">
        <v>0</v>
      </c>
      <c r="AI465" s="84" t="s">
        <v>1750</v>
      </c>
      <c r="AJ465" s="84"/>
      <c r="AK465" s="92" t="s">
        <v>1724</v>
      </c>
      <c r="AL465" s="84" t="b">
        <v>0</v>
      </c>
      <c r="AM465" s="84">
        <v>0</v>
      </c>
      <c r="AN465" s="92" t="s">
        <v>1724</v>
      </c>
      <c r="AO465" s="84" t="s">
        <v>1764</v>
      </c>
      <c r="AP465" s="84" t="b">
        <v>0</v>
      </c>
      <c r="AQ465" s="92" t="s">
        <v>1335</v>
      </c>
      <c r="AR465" s="84" t="s">
        <v>179</v>
      </c>
      <c r="AS465" s="84">
        <v>0</v>
      </c>
      <c r="AT465" s="84">
        <v>0</v>
      </c>
      <c r="AU465" s="84"/>
      <c r="AV465" s="84"/>
      <c r="AW465" s="84"/>
      <c r="AX465" s="84"/>
      <c r="AY465" s="84"/>
      <c r="AZ465" s="84"/>
      <c r="BA465" s="84"/>
      <c r="BB465" s="84"/>
    </row>
    <row r="466" spans="1:54" x14ac:dyDescent="0.2">
      <c r="A466" s="69" t="s">
        <v>226</v>
      </c>
      <c r="B466" s="69" t="s">
        <v>226</v>
      </c>
      <c r="C466" s="70"/>
      <c r="D466" s="71"/>
      <c r="E466" s="72"/>
      <c r="F466" s="73"/>
      <c r="G466" s="70"/>
      <c r="H466" s="74"/>
      <c r="I466" s="75"/>
      <c r="J466" s="75"/>
      <c r="K466" s="36"/>
      <c r="L466" s="82"/>
      <c r="M466" s="82"/>
      <c r="N466" s="77"/>
      <c r="O466" s="84" t="s">
        <v>179</v>
      </c>
      <c r="P466" s="86">
        <v>44017.104745370372</v>
      </c>
      <c r="Q466" s="84" t="s">
        <v>511</v>
      </c>
      <c r="R466" s="84"/>
      <c r="S466" s="84"/>
      <c r="T466" s="84" t="s">
        <v>781</v>
      </c>
      <c r="U466" s="87" t="str">
        <f>HYPERLINK("https://pbs.twimg.com/media/EcIQtE-U0AAeqcE.jpg")</f>
        <v>https://pbs.twimg.com/media/EcIQtE-U0AAeqcE.jpg</v>
      </c>
      <c r="V466" s="87" t="str">
        <f>HYPERLINK("https://pbs.twimg.com/media/EcIQtE-U0AAeqcE.jpg")</f>
        <v>https://pbs.twimg.com/media/EcIQtE-U0AAeqcE.jpg</v>
      </c>
      <c r="W466" s="86">
        <v>44017.104745370372</v>
      </c>
      <c r="X466" s="90">
        <v>44017</v>
      </c>
      <c r="Y466" s="92" t="s">
        <v>871</v>
      </c>
      <c r="Z466" s="87" t="str">
        <f>HYPERLINK("https://twitter.com/mimipokemon1/status/1279603616265859073")</f>
        <v>https://twitter.com/mimipokemon1/status/1279603616265859073</v>
      </c>
      <c r="AA466" s="84"/>
      <c r="AB466" s="84"/>
      <c r="AC466" s="92" t="s">
        <v>1290</v>
      </c>
      <c r="AD466" s="84"/>
      <c r="AE466" s="84" t="b">
        <v>0</v>
      </c>
      <c r="AF466" s="84">
        <v>12</v>
      </c>
      <c r="AG466" s="92" t="s">
        <v>1724</v>
      </c>
      <c r="AH466" s="84" t="b">
        <v>0</v>
      </c>
      <c r="AI466" s="84" t="s">
        <v>1750</v>
      </c>
      <c r="AJ466" s="84"/>
      <c r="AK466" s="92" t="s">
        <v>1724</v>
      </c>
      <c r="AL466" s="84" t="b">
        <v>0</v>
      </c>
      <c r="AM466" s="84">
        <v>0</v>
      </c>
      <c r="AN466" s="92" t="s">
        <v>1724</v>
      </c>
      <c r="AO466" s="84" t="s">
        <v>1763</v>
      </c>
      <c r="AP466" s="84" t="b">
        <v>0</v>
      </c>
      <c r="AQ466" s="92" t="s">
        <v>1290</v>
      </c>
      <c r="AR466" s="84" t="s">
        <v>179</v>
      </c>
      <c r="AS466" s="84">
        <v>0</v>
      </c>
      <c r="AT466" s="84">
        <v>0</v>
      </c>
      <c r="AU466" s="84" t="s">
        <v>1784</v>
      </c>
      <c r="AV466" s="84" t="s">
        <v>1789</v>
      </c>
      <c r="AW466" s="84" t="s">
        <v>1792</v>
      </c>
      <c r="AX466" s="84" t="s">
        <v>1795</v>
      </c>
      <c r="AY466" s="84" t="s">
        <v>1800</v>
      </c>
      <c r="AZ466" s="84" t="s">
        <v>1805</v>
      </c>
      <c r="BA466" s="84" t="s">
        <v>1810</v>
      </c>
      <c r="BB466" s="87" t="str">
        <f>HYPERLINK("https://api.twitter.com/1.1/geo/id/1ea0fd1a31366833.json")</f>
        <v>https://api.twitter.com/1.1/geo/id/1ea0fd1a31366833.json</v>
      </c>
    </row>
    <row r="467" spans="1:54" x14ac:dyDescent="0.2">
      <c r="A467" s="69" t="s">
        <v>319</v>
      </c>
      <c r="B467" s="69" t="s">
        <v>319</v>
      </c>
      <c r="C467" s="70"/>
      <c r="D467" s="71"/>
      <c r="E467" s="72"/>
      <c r="F467" s="73"/>
      <c r="G467" s="70"/>
      <c r="H467" s="74"/>
      <c r="I467" s="75"/>
      <c r="J467" s="75"/>
      <c r="K467" s="36"/>
      <c r="L467" s="82"/>
      <c r="M467" s="82"/>
      <c r="N467" s="77"/>
      <c r="O467" s="84" t="s">
        <v>179</v>
      </c>
      <c r="P467" s="86">
        <v>44017.102164351854</v>
      </c>
      <c r="Q467" s="84" t="s">
        <v>619</v>
      </c>
      <c r="R467" s="84"/>
      <c r="S467" s="84"/>
      <c r="T467" s="84" t="s">
        <v>781</v>
      </c>
      <c r="U467" s="84"/>
      <c r="V467" s="87" t="str">
        <f>HYPERLINK("http://pbs.twimg.com/profile_images/1234029170780299264/4wlxNbMl_normal.jpg")</f>
        <v>http://pbs.twimg.com/profile_images/1234029170780299264/4wlxNbMl_normal.jpg</v>
      </c>
      <c r="W467" s="86">
        <v>44017.102164351854</v>
      </c>
      <c r="X467" s="90">
        <v>44017</v>
      </c>
      <c r="Y467" s="92" t="s">
        <v>1007</v>
      </c>
      <c r="Z467" s="87" t="str">
        <f>HYPERLINK("https://twitter.com/jte3j/status/1279602681909112832")</f>
        <v>https://twitter.com/jte3j/status/1279602681909112832</v>
      </c>
      <c r="AA467" s="84"/>
      <c r="AB467" s="84"/>
      <c r="AC467" s="92" t="s">
        <v>1426</v>
      </c>
      <c r="AD467" s="84"/>
      <c r="AE467" s="84" t="b">
        <v>0</v>
      </c>
      <c r="AF467" s="84">
        <v>14</v>
      </c>
      <c r="AG467" s="92" t="s">
        <v>1724</v>
      </c>
      <c r="AH467" s="84" t="b">
        <v>0</v>
      </c>
      <c r="AI467" s="84" t="s">
        <v>1750</v>
      </c>
      <c r="AJ467" s="84"/>
      <c r="AK467" s="92" t="s">
        <v>1724</v>
      </c>
      <c r="AL467" s="84" t="b">
        <v>0</v>
      </c>
      <c r="AM467" s="84">
        <v>0</v>
      </c>
      <c r="AN467" s="92" t="s">
        <v>1724</v>
      </c>
      <c r="AO467" s="84" t="s">
        <v>1766</v>
      </c>
      <c r="AP467" s="84" t="b">
        <v>0</v>
      </c>
      <c r="AQ467" s="92" t="s">
        <v>1426</v>
      </c>
      <c r="AR467" s="84" t="s">
        <v>179</v>
      </c>
      <c r="AS467" s="84">
        <v>0</v>
      </c>
      <c r="AT467" s="84">
        <v>0</v>
      </c>
      <c r="AU467" s="84"/>
      <c r="AV467" s="84"/>
      <c r="AW467" s="84"/>
      <c r="AX467" s="84"/>
      <c r="AY467" s="84"/>
      <c r="AZ467" s="84"/>
      <c r="BA467" s="84"/>
      <c r="BB467" s="84"/>
    </row>
    <row r="468" spans="1:54" x14ac:dyDescent="0.2">
      <c r="A468" s="69" t="s">
        <v>342</v>
      </c>
      <c r="B468" s="69" t="s">
        <v>342</v>
      </c>
      <c r="C468" s="70"/>
      <c r="D468" s="71"/>
      <c r="E468" s="72"/>
      <c r="F468" s="73"/>
      <c r="G468" s="70"/>
      <c r="H468" s="74"/>
      <c r="I468" s="75"/>
      <c r="J468" s="75"/>
      <c r="K468" s="36"/>
      <c r="L468" s="82"/>
      <c r="M468" s="82"/>
      <c r="N468" s="77"/>
      <c r="O468" s="84" t="s">
        <v>179</v>
      </c>
      <c r="P468" s="86">
        <v>44017.059108796297</v>
      </c>
      <c r="Q468" s="84" t="s">
        <v>639</v>
      </c>
      <c r="R468" s="87" t="str">
        <f>HYPERLINK("https://twitter.com/MagicalThorn/status/1279582011779239936")</f>
        <v>https://twitter.com/MagicalThorn/status/1279582011779239936</v>
      </c>
      <c r="S468" s="84" t="s">
        <v>755</v>
      </c>
      <c r="T468" s="84" t="s">
        <v>781</v>
      </c>
      <c r="U468" s="84"/>
      <c r="V468" s="87" t="str">
        <f>HYPERLINK("http://pbs.twimg.com/profile_images/1263298683879096320/6gwVz81Q_normal.jpg")</f>
        <v>http://pbs.twimg.com/profile_images/1263298683879096320/6gwVz81Q_normal.jpg</v>
      </c>
      <c r="W468" s="86">
        <v>44017.059108796297</v>
      </c>
      <c r="X468" s="90">
        <v>44017</v>
      </c>
      <c r="Y468" s="92" t="s">
        <v>1036</v>
      </c>
      <c r="Z468" s="87" t="str">
        <f>HYPERLINK("https://twitter.com/mameojaru/status/1279587076598452224")</f>
        <v>https://twitter.com/mameojaru/status/1279587076598452224</v>
      </c>
      <c r="AA468" s="84"/>
      <c r="AB468" s="84"/>
      <c r="AC468" s="92" t="s">
        <v>1455</v>
      </c>
      <c r="AD468" s="84"/>
      <c r="AE468" s="84" t="b">
        <v>0</v>
      </c>
      <c r="AF468" s="84">
        <v>0</v>
      </c>
      <c r="AG468" s="92" t="s">
        <v>1724</v>
      </c>
      <c r="AH468" s="84" t="b">
        <v>1</v>
      </c>
      <c r="AI468" s="84" t="s">
        <v>1750</v>
      </c>
      <c r="AJ468" s="84"/>
      <c r="AK468" s="92" t="s">
        <v>1761</v>
      </c>
      <c r="AL468" s="84" t="b">
        <v>0</v>
      </c>
      <c r="AM468" s="84">
        <v>0</v>
      </c>
      <c r="AN468" s="92" t="s">
        <v>1724</v>
      </c>
      <c r="AO468" s="84" t="s">
        <v>1763</v>
      </c>
      <c r="AP468" s="84" t="b">
        <v>0</v>
      </c>
      <c r="AQ468" s="92" t="s">
        <v>1455</v>
      </c>
      <c r="AR468" s="84" t="s">
        <v>179</v>
      </c>
      <c r="AS468" s="84">
        <v>0</v>
      </c>
      <c r="AT468" s="84">
        <v>0</v>
      </c>
      <c r="AU468" s="84"/>
      <c r="AV468" s="84"/>
      <c r="AW468" s="84"/>
      <c r="AX468" s="84"/>
      <c r="AY468" s="84"/>
      <c r="AZ468" s="84"/>
      <c r="BA468" s="84"/>
      <c r="BB468" s="84"/>
    </row>
    <row r="469" spans="1:54" x14ac:dyDescent="0.2">
      <c r="A469" s="69" t="s">
        <v>225</v>
      </c>
      <c r="B469" s="69" t="s">
        <v>228</v>
      </c>
      <c r="C469" s="70"/>
      <c r="D469" s="71"/>
      <c r="E469" s="72"/>
      <c r="F469" s="73"/>
      <c r="G469" s="70"/>
      <c r="H469" s="74"/>
      <c r="I469" s="75"/>
      <c r="J469" s="75"/>
      <c r="K469" s="36"/>
      <c r="L469" s="82"/>
      <c r="M469" s="82"/>
      <c r="N469" s="77"/>
      <c r="O469" s="84" t="s">
        <v>500</v>
      </c>
      <c r="P469" s="86">
        <v>44017.038298611114</v>
      </c>
      <c r="Q469" s="84" t="s">
        <v>510</v>
      </c>
      <c r="R469" s="84"/>
      <c r="S469" s="84"/>
      <c r="T469" s="84"/>
      <c r="U469" s="84"/>
      <c r="V469" s="87" t="str">
        <f>HYPERLINK("http://pbs.twimg.com/profile_images/1255981873/pimp_shredder_icon_normal.jpg")</f>
        <v>http://pbs.twimg.com/profile_images/1255981873/pimp_shredder_icon_normal.jpg</v>
      </c>
      <c r="W469" s="86">
        <v>44017.038298611114</v>
      </c>
      <c r="X469" s="90">
        <v>44017</v>
      </c>
      <c r="Y469" s="92" t="s">
        <v>870</v>
      </c>
      <c r="Z469" s="87" t="str">
        <f>HYPERLINK("https://twitter.com/pimp_shredder/status/1279579534543613952")</f>
        <v>https://twitter.com/pimp_shredder/status/1279579534543613952</v>
      </c>
      <c r="AA469" s="84"/>
      <c r="AB469" s="84"/>
      <c r="AC469" s="92" t="s">
        <v>1289</v>
      </c>
      <c r="AD469" s="84"/>
      <c r="AE469" s="84" t="b">
        <v>0</v>
      </c>
      <c r="AF469" s="84">
        <v>0</v>
      </c>
      <c r="AG469" s="92" t="s">
        <v>1724</v>
      </c>
      <c r="AH469" s="84" t="b">
        <v>0</v>
      </c>
      <c r="AI469" s="84" t="s">
        <v>1751</v>
      </c>
      <c r="AJ469" s="84"/>
      <c r="AK469" s="92" t="s">
        <v>1724</v>
      </c>
      <c r="AL469" s="84" t="b">
        <v>0</v>
      </c>
      <c r="AM469" s="84">
        <v>5</v>
      </c>
      <c r="AN469" s="92" t="s">
        <v>1292</v>
      </c>
      <c r="AO469" s="84" t="s">
        <v>1766</v>
      </c>
      <c r="AP469" s="84" t="b">
        <v>0</v>
      </c>
      <c r="AQ469" s="92" t="s">
        <v>1292</v>
      </c>
      <c r="AR469" s="84" t="s">
        <v>179</v>
      </c>
      <c r="AS469" s="84">
        <v>0</v>
      </c>
      <c r="AT469" s="84">
        <v>0</v>
      </c>
      <c r="AU469" s="84"/>
      <c r="AV469" s="84"/>
      <c r="AW469" s="84"/>
      <c r="AX469" s="84"/>
      <c r="AY469" s="84"/>
      <c r="AZ469" s="84"/>
      <c r="BA469" s="84"/>
      <c r="BB469" s="84"/>
    </row>
    <row r="470" spans="1:54" x14ac:dyDescent="0.2">
      <c r="A470" s="69" t="s">
        <v>282</v>
      </c>
      <c r="B470" s="69" t="s">
        <v>282</v>
      </c>
      <c r="C470" s="70"/>
      <c r="D470" s="71"/>
      <c r="E470" s="72"/>
      <c r="F470" s="73"/>
      <c r="G470" s="70"/>
      <c r="H470" s="74"/>
      <c r="I470" s="75"/>
      <c r="J470" s="75"/>
      <c r="K470" s="36"/>
      <c r="L470" s="82"/>
      <c r="M470" s="82"/>
      <c r="N470" s="77"/>
      <c r="O470" s="84" t="s">
        <v>179</v>
      </c>
      <c r="P470" s="86">
        <v>44017.028229166666</v>
      </c>
      <c r="Q470" s="84" t="s">
        <v>565</v>
      </c>
      <c r="R470" s="84"/>
      <c r="S470" s="84"/>
      <c r="T470" s="84" t="s">
        <v>781</v>
      </c>
      <c r="U470" s="84"/>
      <c r="V470" s="87" t="str">
        <f>HYPERLINK("http://pbs.twimg.com/profile_images/945284466242600966/tNwBCZgT_normal.png")</f>
        <v>http://pbs.twimg.com/profile_images/945284466242600966/tNwBCZgT_normal.png</v>
      </c>
      <c r="W470" s="86">
        <v>44017.028229166666</v>
      </c>
      <c r="X470" s="90">
        <v>44017</v>
      </c>
      <c r="Y470" s="92" t="s">
        <v>945</v>
      </c>
      <c r="Z470" s="87" t="str">
        <f>HYPERLINK("https://twitter.com/kameron_136/status/1279575888271560704")</f>
        <v>https://twitter.com/kameron_136/status/1279575888271560704</v>
      </c>
      <c r="AA470" s="84"/>
      <c r="AB470" s="84"/>
      <c r="AC470" s="92" t="s">
        <v>1364</v>
      </c>
      <c r="AD470" s="92" t="s">
        <v>1708</v>
      </c>
      <c r="AE470" s="84" t="b">
        <v>0</v>
      </c>
      <c r="AF470" s="84">
        <v>3</v>
      </c>
      <c r="AG470" s="92" t="s">
        <v>1731</v>
      </c>
      <c r="AH470" s="84" t="b">
        <v>0</v>
      </c>
      <c r="AI470" s="84" t="s">
        <v>1750</v>
      </c>
      <c r="AJ470" s="84"/>
      <c r="AK470" s="92" t="s">
        <v>1724</v>
      </c>
      <c r="AL470" s="84" t="b">
        <v>0</v>
      </c>
      <c r="AM470" s="84">
        <v>0</v>
      </c>
      <c r="AN470" s="92" t="s">
        <v>1724</v>
      </c>
      <c r="AO470" s="84" t="s">
        <v>1764</v>
      </c>
      <c r="AP470" s="84" t="b">
        <v>0</v>
      </c>
      <c r="AQ470" s="92" t="s">
        <v>1708</v>
      </c>
      <c r="AR470" s="84" t="s">
        <v>179</v>
      </c>
      <c r="AS470" s="84">
        <v>0</v>
      </c>
      <c r="AT470" s="84">
        <v>0</v>
      </c>
      <c r="AU470" s="84"/>
      <c r="AV470" s="84"/>
      <c r="AW470" s="84"/>
      <c r="AX470" s="84"/>
      <c r="AY470" s="84"/>
      <c r="AZ470" s="84"/>
      <c r="BA470" s="84"/>
      <c r="BB470" s="84"/>
    </row>
    <row r="471" spans="1:54" x14ac:dyDescent="0.2">
      <c r="A471" s="69" t="s">
        <v>282</v>
      </c>
      <c r="B471" s="69" t="s">
        <v>282</v>
      </c>
      <c r="C471" s="70"/>
      <c r="D471" s="71"/>
      <c r="E471" s="72"/>
      <c r="F471" s="73"/>
      <c r="G471" s="70"/>
      <c r="H471" s="74"/>
      <c r="I471" s="75"/>
      <c r="J471" s="75"/>
      <c r="K471" s="36"/>
      <c r="L471" s="82"/>
      <c r="M471" s="82"/>
      <c r="N471" s="77"/>
      <c r="O471" s="84" t="s">
        <v>179</v>
      </c>
      <c r="P471" s="86">
        <v>44017.021701388891</v>
      </c>
      <c r="Q471" s="84" t="s">
        <v>564</v>
      </c>
      <c r="R471" s="84"/>
      <c r="S471" s="84"/>
      <c r="T471" s="84" t="s">
        <v>781</v>
      </c>
      <c r="U471" s="84"/>
      <c r="V471" s="87" t="str">
        <f>HYPERLINK("http://pbs.twimg.com/profile_images/945284466242600966/tNwBCZgT_normal.png")</f>
        <v>http://pbs.twimg.com/profile_images/945284466242600966/tNwBCZgT_normal.png</v>
      </c>
      <c r="W471" s="86">
        <v>44017.021701388891</v>
      </c>
      <c r="X471" s="90">
        <v>44017</v>
      </c>
      <c r="Y471" s="92" t="s">
        <v>944</v>
      </c>
      <c r="Z471" s="87" t="str">
        <f>HYPERLINK("https://twitter.com/kameron_136/status/1279573521186713601")</f>
        <v>https://twitter.com/kameron_136/status/1279573521186713601</v>
      </c>
      <c r="AA471" s="84"/>
      <c r="AB471" s="84"/>
      <c r="AC471" s="92" t="s">
        <v>1363</v>
      </c>
      <c r="AD471" s="84"/>
      <c r="AE471" s="84" t="b">
        <v>0</v>
      </c>
      <c r="AF471" s="84">
        <v>4</v>
      </c>
      <c r="AG471" s="92" t="s">
        <v>1724</v>
      </c>
      <c r="AH471" s="84" t="b">
        <v>0</v>
      </c>
      <c r="AI471" s="84" t="s">
        <v>1750</v>
      </c>
      <c r="AJ471" s="84"/>
      <c r="AK471" s="92" t="s">
        <v>1724</v>
      </c>
      <c r="AL471" s="84" t="b">
        <v>0</v>
      </c>
      <c r="AM471" s="84">
        <v>0</v>
      </c>
      <c r="AN471" s="92" t="s">
        <v>1724</v>
      </c>
      <c r="AO471" s="84" t="s">
        <v>1764</v>
      </c>
      <c r="AP471" s="84" t="b">
        <v>0</v>
      </c>
      <c r="AQ471" s="92" t="s">
        <v>1363</v>
      </c>
      <c r="AR471" s="84" t="s">
        <v>179</v>
      </c>
      <c r="AS471" s="84">
        <v>0</v>
      </c>
      <c r="AT471" s="84">
        <v>0</v>
      </c>
      <c r="AU471" s="84"/>
      <c r="AV471" s="84"/>
      <c r="AW471" s="84"/>
      <c r="AX471" s="84"/>
      <c r="AY471" s="84"/>
      <c r="AZ471" s="84"/>
      <c r="BA471" s="84"/>
      <c r="BB471" s="84"/>
    </row>
    <row r="472" spans="1:54" x14ac:dyDescent="0.2">
      <c r="A472" s="69" t="s">
        <v>409</v>
      </c>
      <c r="B472" s="69" t="s">
        <v>409</v>
      </c>
      <c r="C472" s="70"/>
      <c r="D472" s="71"/>
      <c r="E472" s="72"/>
      <c r="F472" s="73"/>
      <c r="G472" s="70"/>
      <c r="H472" s="74"/>
      <c r="I472" s="75"/>
      <c r="J472" s="75"/>
      <c r="K472" s="36"/>
      <c r="L472" s="82"/>
      <c r="M472" s="82"/>
      <c r="N472" s="77"/>
      <c r="O472" s="84" t="s">
        <v>179</v>
      </c>
      <c r="P472" s="86">
        <v>44016.946168981478</v>
      </c>
      <c r="Q472" s="84" t="s">
        <v>701</v>
      </c>
      <c r="R472" s="84"/>
      <c r="S472" s="84"/>
      <c r="T472" s="84" t="s">
        <v>781</v>
      </c>
      <c r="U472" s="84"/>
      <c r="V472" s="87" t="str">
        <f>HYPERLINK("http://pbs.twimg.com/profile_images/1236668333157519361/R8t7DbMO_normal.jpg")</f>
        <v>http://pbs.twimg.com/profile_images/1236668333157519361/R8t7DbMO_normal.jpg</v>
      </c>
      <c r="W472" s="86">
        <v>44016.946168981478</v>
      </c>
      <c r="X472" s="90">
        <v>44016</v>
      </c>
      <c r="Y472" s="92" t="s">
        <v>1160</v>
      </c>
      <c r="Z472" s="87" t="str">
        <f>HYPERLINK("https://twitter.com/sinxsan/status/1279546147795681280")</f>
        <v>https://twitter.com/sinxsan/status/1279546147795681280</v>
      </c>
      <c r="AA472" s="84"/>
      <c r="AB472" s="84"/>
      <c r="AC472" s="92" t="s">
        <v>1581</v>
      </c>
      <c r="AD472" s="92" t="s">
        <v>1580</v>
      </c>
      <c r="AE472" s="84" t="b">
        <v>0</v>
      </c>
      <c r="AF472" s="84">
        <v>3</v>
      </c>
      <c r="AG472" s="92" t="s">
        <v>1740</v>
      </c>
      <c r="AH472" s="84" t="b">
        <v>0</v>
      </c>
      <c r="AI472" s="84" t="s">
        <v>1750</v>
      </c>
      <c r="AJ472" s="84"/>
      <c r="AK472" s="92" t="s">
        <v>1724</v>
      </c>
      <c r="AL472" s="84" t="b">
        <v>0</v>
      </c>
      <c r="AM472" s="84">
        <v>0</v>
      </c>
      <c r="AN472" s="92" t="s">
        <v>1724</v>
      </c>
      <c r="AO472" s="84" t="s">
        <v>1763</v>
      </c>
      <c r="AP472" s="84" t="b">
        <v>0</v>
      </c>
      <c r="AQ472" s="92" t="s">
        <v>1580</v>
      </c>
      <c r="AR472" s="84" t="s">
        <v>179</v>
      </c>
      <c r="AS472" s="84">
        <v>0</v>
      </c>
      <c r="AT472" s="84">
        <v>0</v>
      </c>
      <c r="AU472" s="84"/>
      <c r="AV472" s="84"/>
      <c r="AW472" s="84"/>
      <c r="AX472" s="84"/>
      <c r="AY472" s="84"/>
      <c r="AZ472" s="84"/>
      <c r="BA472" s="84"/>
      <c r="BB472" s="84"/>
    </row>
    <row r="473" spans="1:54" x14ac:dyDescent="0.2">
      <c r="A473" s="69" t="s">
        <v>319</v>
      </c>
      <c r="B473" s="69" t="s">
        <v>319</v>
      </c>
      <c r="C473" s="70"/>
      <c r="D473" s="71"/>
      <c r="E473" s="72"/>
      <c r="F473" s="73"/>
      <c r="G473" s="70"/>
      <c r="H473" s="74"/>
      <c r="I473" s="75"/>
      <c r="J473" s="75"/>
      <c r="K473" s="36"/>
      <c r="L473" s="82"/>
      <c r="M473" s="82"/>
      <c r="N473" s="77"/>
      <c r="O473" s="84" t="s">
        <v>179</v>
      </c>
      <c r="P473" s="86">
        <v>44016.925902777781</v>
      </c>
      <c r="Q473" s="84" t="s">
        <v>618</v>
      </c>
      <c r="R473" s="84"/>
      <c r="S473" s="84"/>
      <c r="T473" s="84" t="s">
        <v>781</v>
      </c>
      <c r="U473" s="87" t="str">
        <f>HYPERLINK("https://pbs.twimg.com/media/EcHVwu7U8AARE3E.jpg")</f>
        <v>https://pbs.twimg.com/media/EcHVwu7U8AARE3E.jpg</v>
      </c>
      <c r="V473" s="87" t="str">
        <f>HYPERLINK("https://pbs.twimg.com/media/EcHVwu7U8AARE3E.jpg")</f>
        <v>https://pbs.twimg.com/media/EcHVwu7U8AARE3E.jpg</v>
      </c>
      <c r="W473" s="86">
        <v>44016.925902777781</v>
      </c>
      <c r="X473" s="90">
        <v>44016</v>
      </c>
      <c r="Y473" s="92" t="s">
        <v>1006</v>
      </c>
      <c r="Z473" s="87" t="str">
        <f>HYPERLINK("https://twitter.com/jte3j/status/1279538805993701376")</f>
        <v>https://twitter.com/jte3j/status/1279538805993701376</v>
      </c>
      <c r="AA473" s="84"/>
      <c r="AB473" s="84"/>
      <c r="AC473" s="92" t="s">
        <v>1425</v>
      </c>
      <c r="AD473" s="84"/>
      <c r="AE473" s="84" t="b">
        <v>0</v>
      </c>
      <c r="AF473" s="84">
        <v>3</v>
      </c>
      <c r="AG473" s="92" t="s">
        <v>1724</v>
      </c>
      <c r="AH473" s="84" t="b">
        <v>0</v>
      </c>
      <c r="AI473" s="84" t="s">
        <v>1750</v>
      </c>
      <c r="AJ473" s="84"/>
      <c r="AK473" s="92" t="s">
        <v>1724</v>
      </c>
      <c r="AL473" s="84" t="b">
        <v>0</v>
      </c>
      <c r="AM473" s="84">
        <v>0</v>
      </c>
      <c r="AN473" s="92" t="s">
        <v>1724</v>
      </c>
      <c r="AO473" s="84" t="s">
        <v>1763</v>
      </c>
      <c r="AP473" s="84" t="b">
        <v>0</v>
      </c>
      <c r="AQ473" s="92" t="s">
        <v>1425</v>
      </c>
      <c r="AR473" s="84" t="s">
        <v>179</v>
      </c>
      <c r="AS473" s="84">
        <v>0</v>
      </c>
      <c r="AT473" s="84">
        <v>0</v>
      </c>
      <c r="AU473" s="84"/>
      <c r="AV473" s="84"/>
      <c r="AW473" s="84"/>
      <c r="AX473" s="84"/>
      <c r="AY473" s="84"/>
      <c r="AZ473" s="84"/>
      <c r="BA473" s="84"/>
      <c r="BB473" s="84"/>
    </row>
    <row r="474" spans="1:54" x14ac:dyDescent="0.2">
      <c r="A474" s="69" t="s">
        <v>363</v>
      </c>
      <c r="B474" s="69" t="s">
        <v>363</v>
      </c>
      <c r="C474" s="70"/>
      <c r="D474" s="71"/>
      <c r="E474" s="72"/>
      <c r="F474" s="73"/>
      <c r="G474" s="70"/>
      <c r="H474" s="74"/>
      <c r="I474" s="75"/>
      <c r="J474" s="75"/>
      <c r="K474" s="36"/>
      <c r="L474" s="82"/>
      <c r="M474" s="82"/>
      <c r="N474" s="77"/>
      <c r="O474" s="84" t="s">
        <v>179</v>
      </c>
      <c r="P474" s="86">
        <v>44016.917500000003</v>
      </c>
      <c r="Q474" s="84" t="s">
        <v>693</v>
      </c>
      <c r="R474" s="84"/>
      <c r="S474" s="84"/>
      <c r="T474" s="84" t="s">
        <v>781</v>
      </c>
      <c r="U474" s="87" t="str">
        <f>HYPERLINK("https://pbs.twimg.com/media/EcHS_R9UMAEuXAX.jpg")</f>
        <v>https://pbs.twimg.com/media/EcHS_R9UMAEuXAX.jpg</v>
      </c>
      <c r="V474" s="87" t="str">
        <f>HYPERLINK("https://pbs.twimg.com/media/EcHS_R9UMAEuXAX.jpg")</f>
        <v>https://pbs.twimg.com/media/EcHS_R9UMAEuXAX.jpg</v>
      </c>
      <c r="W474" s="86">
        <v>44016.917500000003</v>
      </c>
      <c r="X474" s="90">
        <v>44016</v>
      </c>
      <c r="Y474" s="92" t="s">
        <v>1149</v>
      </c>
      <c r="Z474" s="87" t="str">
        <f>HYPERLINK("https://twitter.com/mino_0916/status/1279535759129624576")</f>
        <v>https://twitter.com/mino_0916/status/1279535759129624576</v>
      </c>
      <c r="AA474" s="84"/>
      <c r="AB474" s="84"/>
      <c r="AC474" s="92" t="s">
        <v>1570</v>
      </c>
      <c r="AD474" s="84"/>
      <c r="AE474" s="84" t="b">
        <v>0</v>
      </c>
      <c r="AF474" s="84">
        <v>14</v>
      </c>
      <c r="AG474" s="92" t="s">
        <v>1724</v>
      </c>
      <c r="AH474" s="84" t="b">
        <v>0</v>
      </c>
      <c r="AI474" s="84" t="s">
        <v>1750</v>
      </c>
      <c r="AJ474" s="84"/>
      <c r="AK474" s="92" t="s">
        <v>1724</v>
      </c>
      <c r="AL474" s="84" t="b">
        <v>0</v>
      </c>
      <c r="AM474" s="84">
        <v>0</v>
      </c>
      <c r="AN474" s="92" t="s">
        <v>1724</v>
      </c>
      <c r="AO474" s="84" t="s">
        <v>1763</v>
      </c>
      <c r="AP474" s="84" t="b">
        <v>0</v>
      </c>
      <c r="AQ474" s="92" t="s">
        <v>1570</v>
      </c>
      <c r="AR474" s="84" t="s">
        <v>179</v>
      </c>
      <c r="AS474" s="84">
        <v>0</v>
      </c>
      <c r="AT474" s="84">
        <v>0</v>
      </c>
      <c r="AU474" s="84"/>
      <c r="AV474" s="84"/>
      <c r="AW474" s="84"/>
      <c r="AX474" s="84"/>
      <c r="AY474" s="84"/>
      <c r="AZ474" s="84"/>
      <c r="BA474" s="84"/>
      <c r="BB474" s="84"/>
    </row>
    <row r="475" spans="1:54" x14ac:dyDescent="0.2">
      <c r="A475" s="69" t="s">
        <v>261</v>
      </c>
      <c r="B475" s="69" t="s">
        <v>261</v>
      </c>
      <c r="C475" s="70"/>
      <c r="D475" s="71"/>
      <c r="E475" s="72"/>
      <c r="F475" s="73"/>
      <c r="G475" s="70"/>
      <c r="H475" s="74"/>
      <c r="I475" s="75"/>
      <c r="J475" s="75"/>
      <c r="K475" s="36"/>
      <c r="L475" s="82"/>
      <c r="M475" s="82"/>
      <c r="N475" s="77"/>
      <c r="O475" s="84" t="s">
        <v>179</v>
      </c>
      <c r="P475" s="86">
        <v>44016.914456018516</v>
      </c>
      <c r="Q475" s="84" t="s">
        <v>550</v>
      </c>
      <c r="R475" s="84"/>
      <c r="S475" s="84"/>
      <c r="T475" s="84" t="s">
        <v>781</v>
      </c>
      <c r="U475" s="87" t="str">
        <f>HYPERLINK("https://pbs.twimg.com/media/EcHR--EUMAAHUA9.jpg")</f>
        <v>https://pbs.twimg.com/media/EcHR--EUMAAHUA9.jpg</v>
      </c>
      <c r="V475" s="87" t="str">
        <f>HYPERLINK("https://pbs.twimg.com/media/EcHR--EUMAAHUA9.jpg")</f>
        <v>https://pbs.twimg.com/media/EcHR--EUMAAHUA9.jpg</v>
      </c>
      <c r="W475" s="86">
        <v>44016.914456018516</v>
      </c>
      <c r="X475" s="90">
        <v>44016</v>
      </c>
      <c r="Y475" s="92" t="s">
        <v>918</v>
      </c>
      <c r="Z475" s="87" t="str">
        <f>HYPERLINK("https://twitter.com/katopsingress/status/1279534658015727616")</f>
        <v>https://twitter.com/katopsingress/status/1279534658015727616</v>
      </c>
      <c r="AA475" s="84"/>
      <c r="AB475" s="84"/>
      <c r="AC475" s="92" t="s">
        <v>1337</v>
      </c>
      <c r="AD475" s="84"/>
      <c r="AE475" s="84" t="b">
        <v>0</v>
      </c>
      <c r="AF475" s="84">
        <v>14</v>
      </c>
      <c r="AG475" s="92" t="s">
        <v>1724</v>
      </c>
      <c r="AH475" s="84" t="b">
        <v>0</v>
      </c>
      <c r="AI475" s="84" t="s">
        <v>1750</v>
      </c>
      <c r="AJ475" s="84"/>
      <c r="AK475" s="92" t="s">
        <v>1724</v>
      </c>
      <c r="AL475" s="84" t="b">
        <v>0</v>
      </c>
      <c r="AM475" s="84">
        <v>0</v>
      </c>
      <c r="AN475" s="92" t="s">
        <v>1724</v>
      </c>
      <c r="AO475" s="84" t="s">
        <v>1764</v>
      </c>
      <c r="AP475" s="84" t="b">
        <v>0</v>
      </c>
      <c r="AQ475" s="92" t="s">
        <v>1337</v>
      </c>
      <c r="AR475" s="84" t="s">
        <v>179</v>
      </c>
      <c r="AS475" s="84">
        <v>0</v>
      </c>
      <c r="AT475" s="84">
        <v>0</v>
      </c>
      <c r="AU475" s="84"/>
      <c r="AV475" s="84"/>
      <c r="AW475" s="84"/>
      <c r="AX475" s="84"/>
      <c r="AY475" s="84"/>
      <c r="AZ475" s="84"/>
      <c r="BA475" s="84"/>
      <c r="BB475" s="84"/>
    </row>
    <row r="476" spans="1:54" x14ac:dyDescent="0.2">
      <c r="A476" s="69" t="s">
        <v>410</v>
      </c>
      <c r="B476" s="69" t="s">
        <v>410</v>
      </c>
      <c r="C476" s="70"/>
      <c r="D476" s="71"/>
      <c r="E476" s="72"/>
      <c r="F476" s="73"/>
      <c r="G476" s="70"/>
      <c r="H476" s="74"/>
      <c r="I476" s="75"/>
      <c r="J476" s="75"/>
      <c r="K476" s="36"/>
      <c r="L476" s="82"/>
      <c r="M476" s="82"/>
      <c r="N476" s="77"/>
      <c r="O476" s="84" t="s">
        <v>179</v>
      </c>
      <c r="P476" s="86">
        <v>44016.910682870373</v>
      </c>
      <c r="Q476" s="84" t="s">
        <v>708</v>
      </c>
      <c r="R476" s="84"/>
      <c r="S476" s="84"/>
      <c r="T476" s="84" t="s">
        <v>781</v>
      </c>
      <c r="U476" s="84"/>
      <c r="V476" s="87" t="str">
        <f>HYPERLINK("http://pbs.twimg.com/profile_images/1213429912041705472/NNVo6b6G_normal.jpg")</f>
        <v>http://pbs.twimg.com/profile_images/1213429912041705472/NNVo6b6G_normal.jpg</v>
      </c>
      <c r="W476" s="86">
        <v>44016.910682870373</v>
      </c>
      <c r="X476" s="90">
        <v>44016</v>
      </c>
      <c r="Y476" s="92" t="s">
        <v>1177</v>
      </c>
      <c r="Z476" s="87" t="str">
        <f>HYPERLINK("https://twitter.com/momo99momo1/status/1279533289447940096")</f>
        <v>https://twitter.com/momo99momo1/status/1279533289447940096</v>
      </c>
      <c r="AA476" s="84"/>
      <c r="AB476" s="84"/>
      <c r="AC476" s="92" t="s">
        <v>1598</v>
      </c>
      <c r="AD476" s="84"/>
      <c r="AE476" s="84" t="b">
        <v>0</v>
      </c>
      <c r="AF476" s="84">
        <v>3</v>
      </c>
      <c r="AG476" s="92" t="s">
        <v>1724</v>
      </c>
      <c r="AH476" s="84" t="b">
        <v>0</v>
      </c>
      <c r="AI476" s="84" t="s">
        <v>1750</v>
      </c>
      <c r="AJ476" s="84"/>
      <c r="AK476" s="92" t="s">
        <v>1724</v>
      </c>
      <c r="AL476" s="84" t="b">
        <v>0</v>
      </c>
      <c r="AM476" s="84">
        <v>0</v>
      </c>
      <c r="AN476" s="92" t="s">
        <v>1724</v>
      </c>
      <c r="AO476" s="84" t="s">
        <v>1766</v>
      </c>
      <c r="AP476" s="84" t="b">
        <v>0</v>
      </c>
      <c r="AQ476" s="92" t="s">
        <v>1598</v>
      </c>
      <c r="AR476" s="84" t="s">
        <v>179</v>
      </c>
      <c r="AS476" s="84">
        <v>0</v>
      </c>
      <c r="AT476" s="84">
        <v>0</v>
      </c>
      <c r="AU476" s="84"/>
      <c r="AV476" s="84"/>
      <c r="AW476" s="84"/>
      <c r="AX476" s="84"/>
      <c r="AY476" s="84"/>
      <c r="AZ476" s="84"/>
      <c r="BA476" s="84"/>
      <c r="BB476" s="84"/>
    </row>
    <row r="477" spans="1:54" x14ac:dyDescent="0.2">
      <c r="A477" s="69" t="s">
        <v>314</v>
      </c>
      <c r="B477" s="69" t="s">
        <v>314</v>
      </c>
      <c r="C477" s="70"/>
      <c r="D477" s="71"/>
      <c r="E477" s="72"/>
      <c r="F477" s="73"/>
      <c r="G477" s="70"/>
      <c r="H477" s="74"/>
      <c r="I477" s="75"/>
      <c r="J477" s="75"/>
      <c r="K477" s="36"/>
      <c r="L477" s="82"/>
      <c r="M477" s="82"/>
      <c r="N477" s="77"/>
      <c r="O477" s="84" t="s">
        <v>179</v>
      </c>
      <c r="P477" s="86">
        <v>44016.901550925926</v>
      </c>
      <c r="Q477" s="84" t="s">
        <v>595</v>
      </c>
      <c r="R477" s="84"/>
      <c r="S477" s="84"/>
      <c r="T477" s="84" t="s">
        <v>819</v>
      </c>
      <c r="U477" s="87" t="str">
        <f>HYPERLINK("https://pbs.twimg.com/media/EcHNvCaUMAAO2sE.jpg")</f>
        <v>https://pbs.twimg.com/media/EcHNvCaUMAAO2sE.jpg</v>
      </c>
      <c r="V477" s="87" t="str">
        <f>HYPERLINK("https://pbs.twimg.com/media/EcHNvCaUMAAO2sE.jpg")</f>
        <v>https://pbs.twimg.com/media/EcHNvCaUMAAO2sE.jpg</v>
      </c>
      <c r="W477" s="86">
        <v>44016.901550925926</v>
      </c>
      <c r="X477" s="90">
        <v>44016</v>
      </c>
      <c r="Y477" s="92" t="s">
        <v>982</v>
      </c>
      <c r="Z477" s="87" t="str">
        <f>HYPERLINK("https://twitter.com/coolportraitgil/status/1279529981886869504")</f>
        <v>https://twitter.com/coolportraitgil/status/1279529981886869504</v>
      </c>
      <c r="AA477" s="84"/>
      <c r="AB477" s="84"/>
      <c r="AC477" s="92" t="s">
        <v>1401</v>
      </c>
      <c r="AD477" s="84"/>
      <c r="AE477" s="84" t="b">
        <v>0</v>
      </c>
      <c r="AF477" s="84">
        <v>1</v>
      </c>
      <c r="AG477" s="92" t="s">
        <v>1724</v>
      </c>
      <c r="AH477" s="84" t="b">
        <v>0</v>
      </c>
      <c r="AI477" s="84" t="s">
        <v>1750</v>
      </c>
      <c r="AJ477" s="84"/>
      <c r="AK477" s="92" t="s">
        <v>1724</v>
      </c>
      <c r="AL477" s="84" t="b">
        <v>0</v>
      </c>
      <c r="AM477" s="84">
        <v>0</v>
      </c>
      <c r="AN477" s="92" t="s">
        <v>1724</v>
      </c>
      <c r="AO477" s="84" t="s">
        <v>1763</v>
      </c>
      <c r="AP477" s="84" t="b">
        <v>0</v>
      </c>
      <c r="AQ477" s="92" t="s">
        <v>1401</v>
      </c>
      <c r="AR477" s="84" t="s">
        <v>179</v>
      </c>
      <c r="AS477" s="84">
        <v>0</v>
      </c>
      <c r="AT477" s="84">
        <v>0</v>
      </c>
      <c r="AU477" s="84"/>
      <c r="AV477" s="84"/>
      <c r="AW477" s="84"/>
      <c r="AX477" s="84"/>
      <c r="AY477" s="84"/>
      <c r="AZ477" s="84"/>
      <c r="BA477" s="84"/>
      <c r="BB477" s="84"/>
    </row>
    <row r="478" spans="1:54" x14ac:dyDescent="0.2">
      <c r="A478" s="69" t="s">
        <v>357</v>
      </c>
      <c r="B478" s="69" t="s">
        <v>357</v>
      </c>
      <c r="C478" s="70"/>
      <c r="D478" s="71"/>
      <c r="E478" s="72"/>
      <c r="F478" s="73"/>
      <c r="G478" s="70"/>
      <c r="H478" s="74"/>
      <c r="I478" s="75"/>
      <c r="J478" s="75"/>
      <c r="K478" s="36"/>
      <c r="L478" s="82"/>
      <c r="M478" s="82"/>
      <c r="N478" s="77"/>
      <c r="O478" s="84" t="s">
        <v>179</v>
      </c>
      <c r="P478" s="86">
        <v>44016.892025462963</v>
      </c>
      <c r="Q478" s="84" t="s">
        <v>659</v>
      </c>
      <c r="R478" s="84"/>
      <c r="S478" s="84"/>
      <c r="T478" s="84" t="s">
        <v>781</v>
      </c>
      <c r="U478" s="87" t="str">
        <f>HYPERLINK("https://pbs.twimg.com/media/EcHKa--UMAAB8Dt.jpg")</f>
        <v>https://pbs.twimg.com/media/EcHKa--UMAAB8Dt.jpg</v>
      </c>
      <c r="V478" s="87" t="str">
        <f>HYPERLINK("https://pbs.twimg.com/media/EcHKa--UMAAB8Dt.jpg")</f>
        <v>https://pbs.twimg.com/media/EcHKa--UMAAB8Dt.jpg</v>
      </c>
      <c r="W478" s="86">
        <v>44016.892025462963</v>
      </c>
      <c r="X478" s="90">
        <v>44016</v>
      </c>
      <c r="Y478" s="92" t="s">
        <v>1066</v>
      </c>
      <c r="Z478" s="87" t="str">
        <f>HYPERLINK("https://twitter.com/magicalthorn/status/1279526528695468032")</f>
        <v>https://twitter.com/magicalthorn/status/1279526528695468032</v>
      </c>
      <c r="AA478" s="84"/>
      <c r="AB478" s="84"/>
      <c r="AC478" s="92" t="s">
        <v>1485</v>
      </c>
      <c r="AD478" s="84"/>
      <c r="AE478" s="84" t="b">
        <v>0</v>
      </c>
      <c r="AF478" s="84">
        <v>18</v>
      </c>
      <c r="AG478" s="92" t="s">
        <v>1724</v>
      </c>
      <c r="AH478" s="84" t="b">
        <v>0</v>
      </c>
      <c r="AI478" s="84" t="s">
        <v>1750</v>
      </c>
      <c r="AJ478" s="84"/>
      <c r="AK478" s="92" t="s">
        <v>1724</v>
      </c>
      <c r="AL478" s="84" t="b">
        <v>0</v>
      </c>
      <c r="AM478" s="84">
        <v>0</v>
      </c>
      <c r="AN478" s="92" t="s">
        <v>1724</v>
      </c>
      <c r="AO478" s="84" t="s">
        <v>1766</v>
      </c>
      <c r="AP478" s="84" t="b">
        <v>0</v>
      </c>
      <c r="AQ478" s="92" t="s">
        <v>1485</v>
      </c>
      <c r="AR478" s="84" t="s">
        <v>179</v>
      </c>
      <c r="AS478" s="84">
        <v>0</v>
      </c>
      <c r="AT478" s="84">
        <v>0</v>
      </c>
      <c r="AU478" s="84"/>
      <c r="AV478" s="84"/>
      <c r="AW478" s="84"/>
      <c r="AX478" s="84"/>
      <c r="AY478" s="84"/>
      <c r="AZ478" s="84"/>
      <c r="BA478" s="84"/>
      <c r="BB478" s="84"/>
    </row>
    <row r="479" spans="1:54" x14ac:dyDescent="0.2">
      <c r="A479" s="69" t="s">
        <v>329</v>
      </c>
      <c r="B479" s="69" t="s">
        <v>329</v>
      </c>
      <c r="C479" s="70"/>
      <c r="D479" s="71"/>
      <c r="E479" s="72"/>
      <c r="F479" s="73"/>
      <c r="G479" s="70"/>
      <c r="H479" s="74"/>
      <c r="I479" s="75"/>
      <c r="J479" s="75"/>
      <c r="K479" s="36"/>
      <c r="L479" s="82"/>
      <c r="M479" s="82"/>
      <c r="N479" s="77"/>
      <c r="O479" s="84" t="s">
        <v>179</v>
      </c>
      <c r="P479" s="86">
        <v>44016.783136574071</v>
      </c>
      <c r="Q479" s="84" t="s">
        <v>629</v>
      </c>
      <c r="R479" s="84"/>
      <c r="S479" s="84"/>
      <c r="T479" s="84" t="s">
        <v>781</v>
      </c>
      <c r="U479" s="84"/>
      <c r="V479" s="87" t="str">
        <f>HYPERLINK("http://pbs.twimg.com/profile_images/56161983/img_normal.jpg")</f>
        <v>http://pbs.twimg.com/profile_images/56161983/img_normal.jpg</v>
      </c>
      <c r="W479" s="86">
        <v>44016.783136574071</v>
      </c>
      <c r="X479" s="90">
        <v>44016</v>
      </c>
      <c r="Y479" s="92" t="s">
        <v>1019</v>
      </c>
      <c r="Z479" s="87" t="str">
        <f>HYPERLINK("https://twitter.com/jeanluc_picachu/status/1279487069241225216")</f>
        <v>https://twitter.com/jeanluc_picachu/status/1279487069241225216</v>
      </c>
      <c r="AA479" s="84"/>
      <c r="AB479" s="84"/>
      <c r="AC479" s="92" t="s">
        <v>1438</v>
      </c>
      <c r="AD479" s="84"/>
      <c r="AE479" s="84" t="b">
        <v>0</v>
      </c>
      <c r="AF479" s="84">
        <v>1</v>
      </c>
      <c r="AG479" s="92" t="s">
        <v>1724</v>
      </c>
      <c r="AH479" s="84" t="b">
        <v>0</v>
      </c>
      <c r="AI479" s="84" t="s">
        <v>1750</v>
      </c>
      <c r="AJ479" s="84"/>
      <c r="AK479" s="92" t="s">
        <v>1724</v>
      </c>
      <c r="AL479" s="84" t="b">
        <v>0</v>
      </c>
      <c r="AM479" s="84">
        <v>0</v>
      </c>
      <c r="AN479" s="92" t="s">
        <v>1724</v>
      </c>
      <c r="AO479" s="84" t="s">
        <v>1768</v>
      </c>
      <c r="AP479" s="84" t="b">
        <v>0</v>
      </c>
      <c r="AQ479" s="92" t="s">
        <v>1438</v>
      </c>
      <c r="AR479" s="84" t="s">
        <v>179</v>
      </c>
      <c r="AS479" s="84">
        <v>0</v>
      </c>
      <c r="AT479" s="84">
        <v>0</v>
      </c>
      <c r="AU479" s="84"/>
      <c r="AV479" s="84"/>
      <c r="AW479" s="84"/>
      <c r="AX479" s="84"/>
      <c r="AY479" s="84"/>
      <c r="AZ479" s="84"/>
      <c r="BA479" s="84"/>
      <c r="BB479" s="84"/>
    </row>
    <row r="480" spans="1:54" x14ac:dyDescent="0.2">
      <c r="A480" s="69" t="s">
        <v>246</v>
      </c>
      <c r="B480" s="69" t="s">
        <v>246</v>
      </c>
      <c r="C480" s="70"/>
      <c r="D480" s="71"/>
      <c r="E480" s="72"/>
      <c r="F480" s="73"/>
      <c r="G480" s="70"/>
      <c r="H480" s="74"/>
      <c r="I480" s="75"/>
      <c r="J480" s="75"/>
      <c r="K480" s="36"/>
      <c r="L480" s="82"/>
      <c r="M480" s="82"/>
      <c r="N480" s="77"/>
      <c r="O480" s="84" t="s">
        <v>179</v>
      </c>
      <c r="P480" s="86">
        <v>44016.777812499997</v>
      </c>
      <c r="Q480" s="84" t="s">
        <v>528</v>
      </c>
      <c r="R480" s="84"/>
      <c r="S480" s="84"/>
      <c r="T480" s="84" t="s">
        <v>781</v>
      </c>
      <c r="U480" s="87" t="str">
        <f>HYPERLINK("https://pbs.twimg.com/media/EcGkvIkUcAAlA-f.jpg")</f>
        <v>https://pbs.twimg.com/media/EcGkvIkUcAAlA-f.jpg</v>
      </c>
      <c r="V480" s="87" t="str">
        <f>HYPERLINK("https://pbs.twimg.com/media/EcGkvIkUcAAlA-f.jpg")</f>
        <v>https://pbs.twimg.com/media/EcGkvIkUcAAlA-f.jpg</v>
      </c>
      <c r="W480" s="86">
        <v>44016.777812499997</v>
      </c>
      <c r="X480" s="90">
        <v>44016</v>
      </c>
      <c r="Y480" s="92" t="s">
        <v>893</v>
      </c>
      <c r="Z480" s="87" t="str">
        <f>HYPERLINK("https://twitter.com/kokyona/status/1279485139802746880")</f>
        <v>https://twitter.com/kokyona/status/1279485139802746880</v>
      </c>
      <c r="AA480" s="84"/>
      <c r="AB480" s="84"/>
      <c r="AC480" s="92" t="s">
        <v>1312</v>
      </c>
      <c r="AD480" s="84"/>
      <c r="AE480" s="84" t="b">
        <v>0</v>
      </c>
      <c r="AF480" s="84">
        <v>0</v>
      </c>
      <c r="AG480" s="92" t="s">
        <v>1724</v>
      </c>
      <c r="AH480" s="84" t="b">
        <v>0</v>
      </c>
      <c r="AI480" s="84" t="s">
        <v>1750</v>
      </c>
      <c r="AJ480" s="84"/>
      <c r="AK480" s="92" t="s">
        <v>1724</v>
      </c>
      <c r="AL480" s="84" t="b">
        <v>0</v>
      </c>
      <c r="AM480" s="84">
        <v>0</v>
      </c>
      <c r="AN480" s="92" t="s">
        <v>1724</v>
      </c>
      <c r="AO480" s="84" t="s">
        <v>1766</v>
      </c>
      <c r="AP480" s="84" t="b">
        <v>0</v>
      </c>
      <c r="AQ480" s="92" t="s">
        <v>1312</v>
      </c>
      <c r="AR480" s="84" t="s">
        <v>179</v>
      </c>
      <c r="AS480" s="84">
        <v>0</v>
      </c>
      <c r="AT480" s="84">
        <v>0</v>
      </c>
      <c r="AU480" s="84"/>
      <c r="AV480" s="84"/>
      <c r="AW480" s="84"/>
      <c r="AX480" s="84"/>
      <c r="AY480" s="84"/>
      <c r="AZ480" s="84"/>
      <c r="BA480" s="84"/>
      <c r="BB480" s="84"/>
    </row>
    <row r="481" spans="1:54" x14ac:dyDescent="0.2">
      <c r="A481" s="69" t="s">
        <v>224</v>
      </c>
      <c r="B481" s="69" t="s">
        <v>228</v>
      </c>
      <c r="C481" s="70"/>
      <c r="D481" s="71"/>
      <c r="E481" s="72"/>
      <c r="F481" s="73"/>
      <c r="G481" s="70"/>
      <c r="H481" s="74"/>
      <c r="I481" s="75"/>
      <c r="J481" s="75"/>
      <c r="K481" s="36"/>
      <c r="L481" s="82"/>
      <c r="M481" s="82"/>
      <c r="N481" s="77"/>
      <c r="O481" s="84" t="s">
        <v>500</v>
      </c>
      <c r="P481" s="86">
        <v>44016.757453703707</v>
      </c>
      <c r="Q481" s="84" t="s">
        <v>510</v>
      </c>
      <c r="R481" s="84"/>
      <c r="S481" s="84"/>
      <c r="T481" s="84"/>
      <c r="U481" s="84"/>
      <c r="V481" s="87" t="str">
        <f>HYPERLINK("http://pbs.twimg.com/profile_images/378800000727296900/ebd8f4f0100726203de1f65d20ed9f8e_normal.png")</f>
        <v>http://pbs.twimg.com/profile_images/378800000727296900/ebd8f4f0100726203de1f65d20ed9f8e_normal.png</v>
      </c>
      <c r="W481" s="86">
        <v>44016.757453703707</v>
      </c>
      <c r="X481" s="90">
        <v>44016</v>
      </c>
      <c r="Y481" s="92" t="s">
        <v>869</v>
      </c>
      <c r="Z481" s="87" t="str">
        <f>HYPERLINK("https://twitter.com/capttere/status/1279477759492775936")</f>
        <v>https://twitter.com/capttere/status/1279477759492775936</v>
      </c>
      <c r="AA481" s="84"/>
      <c r="AB481" s="84"/>
      <c r="AC481" s="92" t="s">
        <v>1288</v>
      </c>
      <c r="AD481" s="84"/>
      <c r="AE481" s="84" t="b">
        <v>0</v>
      </c>
      <c r="AF481" s="84">
        <v>0</v>
      </c>
      <c r="AG481" s="92" t="s">
        <v>1724</v>
      </c>
      <c r="AH481" s="84" t="b">
        <v>0</v>
      </c>
      <c r="AI481" s="84" t="s">
        <v>1751</v>
      </c>
      <c r="AJ481" s="84"/>
      <c r="AK481" s="92" t="s">
        <v>1724</v>
      </c>
      <c r="AL481" s="84" t="b">
        <v>0</v>
      </c>
      <c r="AM481" s="84">
        <v>5</v>
      </c>
      <c r="AN481" s="92" t="s">
        <v>1292</v>
      </c>
      <c r="AO481" s="84" t="s">
        <v>1766</v>
      </c>
      <c r="AP481" s="84" t="b">
        <v>0</v>
      </c>
      <c r="AQ481" s="92" t="s">
        <v>1292</v>
      </c>
      <c r="AR481" s="84" t="s">
        <v>179</v>
      </c>
      <c r="AS481" s="84">
        <v>0</v>
      </c>
      <c r="AT481" s="84">
        <v>0</v>
      </c>
      <c r="AU481" s="84"/>
      <c r="AV481" s="84"/>
      <c r="AW481" s="84"/>
      <c r="AX481" s="84"/>
      <c r="AY481" s="84"/>
      <c r="AZ481" s="84"/>
      <c r="BA481" s="84"/>
      <c r="BB481" s="84"/>
    </row>
    <row r="482" spans="1:54" x14ac:dyDescent="0.2">
      <c r="A482" s="69" t="s">
        <v>223</v>
      </c>
      <c r="B482" s="69" t="s">
        <v>228</v>
      </c>
      <c r="C482" s="70"/>
      <c r="D482" s="71"/>
      <c r="E482" s="72"/>
      <c r="F482" s="73"/>
      <c r="G482" s="70"/>
      <c r="H482" s="74"/>
      <c r="I482" s="75"/>
      <c r="J482" s="75"/>
      <c r="K482" s="36"/>
      <c r="L482" s="82"/>
      <c r="M482" s="82"/>
      <c r="N482" s="77"/>
      <c r="O482" s="84" t="s">
        <v>500</v>
      </c>
      <c r="P482" s="86">
        <v>44016.673206018517</v>
      </c>
      <c r="Q482" s="84" t="s">
        <v>510</v>
      </c>
      <c r="R482" s="84"/>
      <c r="S482" s="84"/>
      <c r="T482" s="84"/>
      <c r="U482" s="84"/>
      <c r="V482" s="87" t="str">
        <f>HYPERLINK("http://pbs.twimg.com/profile_images/994875760899969029/rRmPMOt-_normal.jpg")</f>
        <v>http://pbs.twimg.com/profile_images/994875760899969029/rRmPMOt-_normal.jpg</v>
      </c>
      <c r="W482" s="86">
        <v>44016.673206018517</v>
      </c>
      <c r="X482" s="90">
        <v>44016</v>
      </c>
      <c r="Y482" s="92" t="s">
        <v>868</v>
      </c>
      <c r="Z482" s="87" t="str">
        <f>HYPERLINK("https://twitter.com/har067014/status/1279447232010424322")</f>
        <v>https://twitter.com/har067014/status/1279447232010424322</v>
      </c>
      <c r="AA482" s="84"/>
      <c r="AB482" s="84"/>
      <c r="AC482" s="92" t="s">
        <v>1287</v>
      </c>
      <c r="AD482" s="84"/>
      <c r="AE482" s="84" t="b">
        <v>0</v>
      </c>
      <c r="AF482" s="84">
        <v>0</v>
      </c>
      <c r="AG482" s="92" t="s">
        <v>1724</v>
      </c>
      <c r="AH482" s="84" t="b">
        <v>0</v>
      </c>
      <c r="AI482" s="84" t="s">
        <v>1751</v>
      </c>
      <c r="AJ482" s="84"/>
      <c r="AK482" s="92" t="s">
        <v>1724</v>
      </c>
      <c r="AL482" s="84" t="b">
        <v>0</v>
      </c>
      <c r="AM482" s="84">
        <v>5</v>
      </c>
      <c r="AN482" s="92" t="s">
        <v>1292</v>
      </c>
      <c r="AO482" s="84" t="s">
        <v>1763</v>
      </c>
      <c r="AP482" s="84" t="b">
        <v>0</v>
      </c>
      <c r="AQ482" s="92" t="s">
        <v>1292</v>
      </c>
      <c r="AR482" s="84" t="s">
        <v>179</v>
      </c>
      <c r="AS482" s="84">
        <v>0</v>
      </c>
      <c r="AT482" s="84">
        <v>0</v>
      </c>
      <c r="AU482" s="84"/>
      <c r="AV482" s="84"/>
      <c r="AW482" s="84"/>
      <c r="AX482" s="84"/>
      <c r="AY482" s="84"/>
      <c r="AZ482" s="84"/>
      <c r="BA482" s="84"/>
      <c r="BB482" s="84"/>
    </row>
    <row r="483" spans="1:54" x14ac:dyDescent="0.2">
      <c r="A483" s="69" t="s">
        <v>228</v>
      </c>
      <c r="B483" s="69" t="s">
        <v>228</v>
      </c>
      <c r="C483" s="70"/>
      <c r="D483" s="71"/>
      <c r="E483" s="72"/>
      <c r="F483" s="73"/>
      <c r="G483" s="70"/>
      <c r="H483" s="74"/>
      <c r="I483" s="75"/>
      <c r="J483" s="75"/>
      <c r="K483" s="36"/>
      <c r="L483" s="82"/>
      <c r="M483" s="82"/>
      <c r="N483" s="77"/>
      <c r="O483" s="84" t="s">
        <v>179</v>
      </c>
      <c r="P483" s="86">
        <v>44016.667268518519</v>
      </c>
      <c r="Q483" s="84" t="s">
        <v>510</v>
      </c>
      <c r="R483" s="87" t="str">
        <f>HYPERLINK("https://barnfinds.com/4k-mile-time-capsule-1952-dodge-wayfarer/")</f>
        <v>https://barnfinds.com/4k-mile-time-capsule-1952-dodge-wayfarer/</v>
      </c>
      <c r="S483" s="84" t="s">
        <v>756</v>
      </c>
      <c r="T483" s="84" t="s">
        <v>782</v>
      </c>
      <c r="U483" s="87" t="str">
        <f>HYPERLINK("https://pbs.twimg.com/media/EcGAhTaWoAIuojd.jpg")</f>
        <v>https://pbs.twimg.com/media/EcGAhTaWoAIuojd.jpg</v>
      </c>
      <c r="V483" s="87" t="str">
        <f>HYPERLINK("https://pbs.twimg.com/media/EcGAhTaWoAIuojd.jpg")</f>
        <v>https://pbs.twimg.com/media/EcGAhTaWoAIuojd.jpg</v>
      </c>
      <c r="W483" s="86">
        <v>44016.667268518519</v>
      </c>
      <c r="X483" s="90">
        <v>44016</v>
      </c>
      <c r="Y483" s="92" t="s">
        <v>873</v>
      </c>
      <c r="Z483" s="87" t="str">
        <f>HYPERLINK("https://twitter.com/barnfinds/status/1279445080655486976")</f>
        <v>https://twitter.com/barnfinds/status/1279445080655486976</v>
      </c>
      <c r="AA483" s="84"/>
      <c r="AB483" s="84"/>
      <c r="AC483" s="92" t="s">
        <v>1292</v>
      </c>
      <c r="AD483" s="84"/>
      <c r="AE483" s="84" t="b">
        <v>0</v>
      </c>
      <c r="AF483" s="84">
        <v>31</v>
      </c>
      <c r="AG483" s="92" t="s">
        <v>1724</v>
      </c>
      <c r="AH483" s="84" t="b">
        <v>0</v>
      </c>
      <c r="AI483" s="84" t="s">
        <v>1751</v>
      </c>
      <c r="AJ483" s="84"/>
      <c r="AK483" s="92" t="s">
        <v>1724</v>
      </c>
      <c r="AL483" s="84" t="b">
        <v>0</v>
      </c>
      <c r="AM483" s="84">
        <v>5</v>
      </c>
      <c r="AN483" s="92" t="s">
        <v>1724</v>
      </c>
      <c r="AO483" s="84" t="s">
        <v>1767</v>
      </c>
      <c r="AP483" s="84" t="b">
        <v>0</v>
      </c>
      <c r="AQ483" s="92" t="s">
        <v>1292</v>
      </c>
      <c r="AR483" s="84" t="s">
        <v>179</v>
      </c>
      <c r="AS483" s="84">
        <v>0</v>
      </c>
      <c r="AT483" s="84">
        <v>0</v>
      </c>
      <c r="AU483" s="84"/>
      <c r="AV483" s="84"/>
      <c r="AW483" s="84"/>
      <c r="AX483" s="84"/>
      <c r="AY483" s="84"/>
      <c r="AZ483" s="84"/>
      <c r="BA483" s="84"/>
      <c r="BB483" s="84"/>
    </row>
    <row r="484" spans="1:54" x14ac:dyDescent="0.2">
      <c r="A484" s="69" t="s">
        <v>359</v>
      </c>
      <c r="B484" s="69" t="s">
        <v>359</v>
      </c>
      <c r="C484" s="70"/>
      <c r="D484" s="71"/>
      <c r="E484" s="72"/>
      <c r="F484" s="73"/>
      <c r="G484" s="70"/>
      <c r="H484" s="74"/>
      <c r="I484" s="75"/>
      <c r="J484" s="75"/>
      <c r="K484" s="36"/>
      <c r="L484" s="82"/>
      <c r="M484" s="82"/>
      <c r="N484" s="77"/>
      <c r="O484" s="84" t="s">
        <v>179</v>
      </c>
      <c r="P484" s="86">
        <v>44016.664224537039</v>
      </c>
      <c r="Q484" s="84" t="s">
        <v>668</v>
      </c>
      <c r="R484" s="84"/>
      <c r="S484" s="84"/>
      <c r="T484" s="84" t="s">
        <v>781</v>
      </c>
      <c r="U484" s="87" t="str">
        <f>HYPERLINK("https://pbs.twimg.com/media/EcF_gTlUMAINYQI.jpg")</f>
        <v>https://pbs.twimg.com/media/EcF_gTlUMAINYQI.jpg</v>
      </c>
      <c r="V484" s="87" t="str">
        <f>HYPERLINK("https://pbs.twimg.com/media/EcF_gTlUMAINYQI.jpg")</f>
        <v>https://pbs.twimg.com/media/EcF_gTlUMAINYQI.jpg</v>
      </c>
      <c r="W484" s="86">
        <v>44016.664224537039</v>
      </c>
      <c r="X484" s="90">
        <v>44016</v>
      </c>
      <c r="Y484" s="92" t="s">
        <v>1077</v>
      </c>
      <c r="Z484" s="87" t="str">
        <f>HYPERLINK("https://twitter.com/hiho_3tafe/status/1279443976202776576")</f>
        <v>https://twitter.com/hiho_3tafe/status/1279443976202776576</v>
      </c>
      <c r="AA484" s="84"/>
      <c r="AB484" s="84"/>
      <c r="AC484" s="92" t="s">
        <v>1496</v>
      </c>
      <c r="AD484" s="84"/>
      <c r="AE484" s="84" t="b">
        <v>0</v>
      </c>
      <c r="AF484" s="84">
        <v>14</v>
      </c>
      <c r="AG484" s="92" t="s">
        <v>1724</v>
      </c>
      <c r="AH484" s="84" t="b">
        <v>0</v>
      </c>
      <c r="AI484" s="84" t="s">
        <v>1750</v>
      </c>
      <c r="AJ484" s="84"/>
      <c r="AK484" s="92" t="s">
        <v>1724</v>
      </c>
      <c r="AL484" s="84" t="b">
        <v>0</v>
      </c>
      <c r="AM484" s="84">
        <v>0</v>
      </c>
      <c r="AN484" s="92" t="s">
        <v>1724</v>
      </c>
      <c r="AO484" s="84" t="s">
        <v>1763</v>
      </c>
      <c r="AP484" s="84" t="b">
        <v>0</v>
      </c>
      <c r="AQ484" s="92" t="s">
        <v>1496</v>
      </c>
      <c r="AR484" s="84" t="s">
        <v>179</v>
      </c>
      <c r="AS484" s="84">
        <v>0</v>
      </c>
      <c r="AT484" s="84">
        <v>0</v>
      </c>
      <c r="AU484" s="84"/>
      <c r="AV484" s="84"/>
      <c r="AW484" s="84"/>
      <c r="AX484" s="84"/>
      <c r="AY484" s="84"/>
      <c r="AZ484" s="84"/>
      <c r="BA484" s="84"/>
      <c r="BB484" s="84"/>
    </row>
    <row r="485" spans="1:54" x14ac:dyDescent="0.2">
      <c r="A485" s="69" t="s">
        <v>222</v>
      </c>
      <c r="B485" s="69" t="s">
        <v>222</v>
      </c>
      <c r="C485" s="70"/>
      <c r="D485" s="71"/>
      <c r="E485" s="72"/>
      <c r="F485" s="73"/>
      <c r="G485" s="70"/>
      <c r="H485" s="74"/>
      <c r="I485" s="75"/>
      <c r="J485" s="75"/>
      <c r="K485" s="36"/>
      <c r="L485" s="82"/>
      <c r="M485" s="82"/>
      <c r="N485" s="77"/>
      <c r="O485" s="84" t="s">
        <v>179</v>
      </c>
      <c r="P485" s="86">
        <v>44016.514652777776</v>
      </c>
      <c r="Q485" s="84" t="s">
        <v>509</v>
      </c>
      <c r="R485" s="87" t="str">
        <f>HYPERLINK("https://twitter.com/0218_blue_sky/status/1279280679914582016")</f>
        <v>https://twitter.com/0218_blue_sky/status/1279280679914582016</v>
      </c>
      <c r="S485" s="84" t="s">
        <v>755</v>
      </c>
      <c r="T485" s="84" t="s">
        <v>781</v>
      </c>
      <c r="U485" s="87" t="str">
        <f>HYPERLINK("https://pbs.twimg.com/media/EcFONqRUcAAfzJF.jpg")</f>
        <v>https://pbs.twimg.com/media/EcFONqRUcAAfzJF.jpg</v>
      </c>
      <c r="V485" s="87" t="str">
        <f>HYPERLINK("https://pbs.twimg.com/media/EcFONqRUcAAfzJF.jpg")</f>
        <v>https://pbs.twimg.com/media/EcFONqRUcAAfzJF.jpg</v>
      </c>
      <c r="W485" s="86">
        <v>44016.514652777776</v>
      </c>
      <c r="X485" s="90">
        <v>44016</v>
      </c>
      <c r="Y485" s="92" t="s">
        <v>867</v>
      </c>
      <c r="Z485" s="87" t="str">
        <f>HYPERLINK("https://twitter.com/0218_blue_sky/status/1279389772801118208")</f>
        <v>https://twitter.com/0218_blue_sky/status/1279389772801118208</v>
      </c>
      <c r="AA485" s="84"/>
      <c r="AB485" s="84"/>
      <c r="AC485" s="92" t="s">
        <v>1286</v>
      </c>
      <c r="AD485" s="84"/>
      <c r="AE485" s="84" t="b">
        <v>0</v>
      </c>
      <c r="AF485" s="84">
        <v>4</v>
      </c>
      <c r="AG485" s="92" t="s">
        <v>1724</v>
      </c>
      <c r="AH485" s="84" t="b">
        <v>1</v>
      </c>
      <c r="AI485" s="84" t="s">
        <v>1750</v>
      </c>
      <c r="AJ485" s="84"/>
      <c r="AK485" s="92" t="s">
        <v>1758</v>
      </c>
      <c r="AL485" s="84" t="b">
        <v>0</v>
      </c>
      <c r="AM485" s="84">
        <v>0</v>
      </c>
      <c r="AN485" s="92" t="s">
        <v>1724</v>
      </c>
      <c r="AO485" s="84" t="s">
        <v>1764</v>
      </c>
      <c r="AP485" s="84" t="b">
        <v>0</v>
      </c>
      <c r="AQ485" s="92" t="s">
        <v>1286</v>
      </c>
      <c r="AR485" s="84" t="s">
        <v>179</v>
      </c>
      <c r="AS485" s="84">
        <v>0</v>
      </c>
      <c r="AT485" s="84">
        <v>0</v>
      </c>
      <c r="AU485" s="84"/>
      <c r="AV485" s="84"/>
      <c r="AW485" s="84"/>
      <c r="AX485" s="84"/>
      <c r="AY485" s="84"/>
      <c r="AZ485" s="84"/>
      <c r="BA485" s="84"/>
      <c r="BB485" s="84"/>
    </row>
    <row r="486" spans="1:54" x14ac:dyDescent="0.2">
      <c r="A486" s="69" t="s">
        <v>365</v>
      </c>
      <c r="B486" s="69" t="s">
        <v>365</v>
      </c>
      <c r="C486" s="70"/>
      <c r="D486" s="71"/>
      <c r="E486" s="72"/>
      <c r="F486" s="73"/>
      <c r="G486" s="70"/>
      <c r="H486" s="74"/>
      <c r="I486" s="75"/>
      <c r="J486" s="75"/>
      <c r="K486" s="36"/>
      <c r="L486" s="82"/>
      <c r="M486" s="82"/>
      <c r="N486" s="77"/>
      <c r="O486" s="84" t="s">
        <v>179</v>
      </c>
      <c r="P486" s="86">
        <v>44016.508449074077</v>
      </c>
      <c r="Q486" s="84" t="s">
        <v>673</v>
      </c>
      <c r="R486" s="84"/>
      <c r="S486" s="84"/>
      <c r="T486" s="84" t="s">
        <v>781</v>
      </c>
      <c r="U486" s="87" t="str">
        <f>HYPERLINK("https://pbs.twimg.com/media/EcFMKVjU4AEazc0.jpg")</f>
        <v>https://pbs.twimg.com/media/EcFMKVjU4AEazc0.jpg</v>
      </c>
      <c r="V486" s="87" t="str">
        <f>HYPERLINK("https://pbs.twimg.com/media/EcFMKVjU4AEazc0.jpg")</f>
        <v>https://pbs.twimg.com/media/EcFMKVjU4AEazc0.jpg</v>
      </c>
      <c r="W486" s="86">
        <v>44016.508449074077</v>
      </c>
      <c r="X486" s="90">
        <v>44016</v>
      </c>
      <c r="Y486" s="92" t="s">
        <v>1088</v>
      </c>
      <c r="Z486" s="87" t="str">
        <f>HYPERLINK("https://twitter.com/tera7998/status/1279387524360626177")</f>
        <v>https://twitter.com/tera7998/status/1279387524360626177</v>
      </c>
      <c r="AA486" s="84"/>
      <c r="AB486" s="84"/>
      <c r="AC486" s="92" t="s">
        <v>1507</v>
      </c>
      <c r="AD486" s="84"/>
      <c r="AE486" s="84" t="b">
        <v>0</v>
      </c>
      <c r="AF486" s="84">
        <v>30</v>
      </c>
      <c r="AG486" s="92" t="s">
        <v>1724</v>
      </c>
      <c r="AH486" s="84" t="b">
        <v>0</v>
      </c>
      <c r="AI486" s="84" t="s">
        <v>1750</v>
      </c>
      <c r="AJ486" s="84"/>
      <c r="AK486" s="92" t="s">
        <v>1724</v>
      </c>
      <c r="AL486" s="84" t="b">
        <v>0</v>
      </c>
      <c r="AM486" s="84">
        <v>0</v>
      </c>
      <c r="AN486" s="92" t="s">
        <v>1724</v>
      </c>
      <c r="AO486" s="84" t="s">
        <v>1764</v>
      </c>
      <c r="AP486" s="84" t="b">
        <v>0</v>
      </c>
      <c r="AQ486" s="92" t="s">
        <v>1507</v>
      </c>
      <c r="AR486" s="84" t="s">
        <v>179</v>
      </c>
      <c r="AS486" s="84">
        <v>0</v>
      </c>
      <c r="AT486" s="84">
        <v>0</v>
      </c>
      <c r="AU486" s="84"/>
      <c r="AV486" s="84"/>
      <c r="AW486" s="84"/>
      <c r="AX486" s="84"/>
      <c r="AY486" s="84"/>
      <c r="AZ486" s="84"/>
      <c r="BA486" s="84"/>
      <c r="BB486" s="84"/>
    </row>
    <row r="487" spans="1:54" x14ac:dyDescent="0.2">
      <c r="A487" s="69" t="s">
        <v>221</v>
      </c>
      <c r="B487" s="69" t="s">
        <v>221</v>
      </c>
      <c r="C487" s="70"/>
      <c r="D487" s="71"/>
      <c r="E487" s="72"/>
      <c r="F487" s="73"/>
      <c r="G487" s="70"/>
      <c r="H487" s="74"/>
      <c r="I487" s="75"/>
      <c r="J487" s="75"/>
      <c r="K487" s="36"/>
      <c r="L487" s="82"/>
      <c r="M487" s="82"/>
      <c r="N487" s="77"/>
      <c r="O487" s="84" t="s">
        <v>179</v>
      </c>
      <c r="P487" s="86">
        <v>44016.506921296299</v>
      </c>
      <c r="Q487" s="84" t="s">
        <v>508</v>
      </c>
      <c r="R487" s="84"/>
      <c r="S487" s="84"/>
      <c r="T487" s="84" t="s">
        <v>781</v>
      </c>
      <c r="U487" s="84"/>
      <c r="V487" s="87" t="str">
        <f>HYPERLINK("http://pbs.twimg.com/profile_images/1113221276879843328/jhMUUkJm_normal.png")</f>
        <v>http://pbs.twimg.com/profile_images/1113221276879843328/jhMUUkJm_normal.png</v>
      </c>
      <c r="W487" s="86">
        <v>44016.506921296299</v>
      </c>
      <c r="X487" s="90">
        <v>44016</v>
      </c>
      <c r="Y487" s="92" t="s">
        <v>866</v>
      </c>
      <c r="Z487" s="87" t="str">
        <f>HYPERLINK("https://twitter.com/kagura2718/status/1279386971144478720")</f>
        <v>https://twitter.com/kagura2718/status/1279386971144478720</v>
      </c>
      <c r="AA487" s="84"/>
      <c r="AB487" s="84"/>
      <c r="AC487" s="92" t="s">
        <v>1285</v>
      </c>
      <c r="AD487" s="92" t="s">
        <v>1704</v>
      </c>
      <c r="AE487" s="84" t="b">
        <v>0</v>
      </c>
      <c r="AF487" s="84">
        <v>0</v>
      </c>
      <c r="AG487" s="92" t="s">
        <v>1725</v>
      </c>
      <c r="AH487" s="84" t="b">
        <v>0</v>
      </c>
      <c r="AI487" s="84" t="s">
        <v>1750</v>
      </c>
      <c r="AJ487" s="84"/>
      <c r="AK487" s="92" t="s">
        <v>1724</v>
      </c>
      <c r="AL487" s="84" t="b">
        <v>0</v>
      </c>
      <c r="AM487" s="84">
        <v>0</v>
      </c>
      <c r="AN487" s="92" t="s">
        <v>1724</v>
      </c>
      <c r="AO487" s="84" t="s">
        <v>1765</v>
      </c>
      <c r="AP487" s="84" t="b">
        <v>0</v>
      </c>
      <c r="AQ487" s="92" t="s">
        <v>1704</v>
      </c>
      <c r="AR487" s="84" t="s">
        <v>179</v>
      </c>
      <c r="AS487" s="84">
        <v>0</v>
      </c>
      <c r="AT487" s="84">
        <v>0</v>
      </c>
      <c r="AU487" s="84"/>
      <c r="AV487" s="84"/>
      <c r="AW487" s="84"/>
      <c r="AX487" s="84"/>
      <c r="AY487" s="84"/>
      <c r="AZ487" s="84"/>
      <c r="BA487" s="84"/>
      <c r="BB487" s="84"/>
    </row>
    <row r="488" spans="1:54" x14ac:dyDescent="0.2">
      <c r="A488" s="69" t="s">
        <v>400</v>
      </c>
      <c r="B488" s="69" t="s">
        <v>400</v>
      </c>
      <c r="C488" s="70"/>
      <c r="D488" s="71"/>
      <c r="E488" s="72"/>
      <c r="F488" s="73"/>
      <c r="G488" s="70"/>
      <c r="H488" s="74"/>
      <c r="I488" s="75"/>
      <c r="J488" s="75"/>
      <c r="K488" s="36"/>
      <c r="L488" s="82"/>
      <c r="M488" s="82"/>
      <c r="N488" s="77"/>
      <c r="O488" s="84" t="s">
        <v>179</v>
      </c>
      <c r="P488" s="86">
        <v>44016.396168981482</v>
      </c>
      <c r="Q488" s="84" t="s">
        <v>586</v>
      </c>
      <c r="R488" s="87" t="str">
        <f>HYPERLINK("https://m.facebook.com/anunknownkraftsman")</f>
        <v>https://m.facebook.com/anunknownkraftsman</v>
      </c>
      <c r="S488" s="84" t="s">
        <v>772</v>
      </c>
      <c r="T488" s="84" t="s">
        <v>842</v>
      </c>
      <c r="U488" s="84"/>
      <c r="V488" s="87" t="str">
        <f>HYPERLINK("http://pbs.twimg.com/profile_images/1142556013167632391/vMubfzN-_normal.jpg")</f>
        <v>http://pbs.twimg.com/profile_images/1142556013167632391/vMubfzN-_normal.jpg</v>
      </c>
      <c r="W488" s="86">
        <v>44016.396168981482</v>
      </c>
      <c r="X488" s="90">
        <v>44016</v>
      </c>
      <c r="Y488" s="92" t="s">
        <v>1127</v>
      </c>
      <c r="Z488" s="87" t="str">
        <f>HYPERLINK("https://twitter.com/hc_mmoor1868/status/1279346837019856896")</f>
        <v>https://twitter.com/hc_mmoor1868/status/1279346837019856896</v>
      </c>
      <c r="AA488" s="84"/>
      <c r="AB488" s="84"/>
      <c r="AC488" s="92" t="s">
        <v>1546</v>
      </c>
      <c r="AD488" s="84"/>
      <c r="AE488" s="84" t="b">
        <v>0</v>
      </c>
      <c r="AF488" s="84">
        <v>0</v>
      </c>
      <c r="AG488" s="92" t="s">
        <v>1724</v>
      </c>
      <c r="AH488" s="84" t="b">
        <v>0</v>
      </c>
      <c r="AI488" s="84" t="s">
        <v>1751</v>
      </c>
      <c r="AJ488" s="84"/>
      <c r="AK488" s="92" t="s">
        <v>1724</v>
      </c>
      <c r="AL488" s="84" t="b">
        <v>0</v>
      </c>
      <c r="AM488" s="84">
        <v>0</v>
      </c>
      <c r="AN488" s="92" t="s">
        <v>1724</v>
      </c>
      <c r="AO488" s="84" t="s">
        <v>1783</v>
      </c>
      <c r="AP488" s="84" t="b">
        <v>0</v>
      </c>
      <c r="AQ488" s="92" t="s">
        <v>1546</v>
      </c>
      <c r="AR488" s="84" t="s">
        <v>179</v>
      </c>
      <c r="AS488" s="84">
        <v>0</v>
      </c>
      <c r="AT488" s="84">
        <v>0</v>
      </c>
      <c r="AU488" s="84"/>
      <c r="AV488" s="84"/>
      <c r="AW488" s="84"/>
      <c r="AX488" s="84"/>
      <c r="AY488" s="84"/>
      <c r="AZ488" s="84"/>
      <c r="BA488" s="84"/>
      <c r="BB488" s="84"/>
    </row>
    <row r="489" spans="1:54" x14ac:dyDescent="0.2">
      <c r="A489" s="69" t="s">
        <v>409</v>
      </c>
      <c r="B489" s="69" t="s">
        <v>409</v>
      </c>
      <c r="C489" s="70"/>
      <c r="D489" s="71"/>
      <c r="E489" s="72"/>
      <c r="F489" s="73"/>
      <c r="G489" s="70"/>
      <c r="H489" s="74"/>
      <c r="I489" s="75"/>
      <c r="J489" s="75"/>
      <c r="K489" s="36"/>
      <c r="L489" s="82"/>
      <c r="M489" s="82"/>
      <c r="N489" s="77"/>
      <c r="O489" s="84" t="s">
        <v>179</v>
      </c>
      <c r="P489" s="86">
        <v>44016.35832175926</v>
      </c>
      <c r="Q489" s="84" t="s">
        <v>700</v>
      </c>
      <c r="R489" s="84"/>
      <c r="S489" s="84"/>
      <c r="T489" s="84" t="s">
        <v>781</v>
      </c>
      <c r="U489" s="84"/>
      <c r="V489" s="87" t="str">
        <f>HYPERLINK("http://pbs.twimg.com/profile_images/1236668333157519361/R8t7DbMO_normal.jpg")</f>
        <v>http://pbs.twimg.com/profile_images/1236668333157519361/R8t7DbMO_normal.jpg</v>
      </c>
      <c r="W489" s="86">
        <v>44016.35832175926</v>
      </c>
      <c r="X489" s="90">
        <v>44016</v>
      </c>
      <c r="Y489" s="92" t="s">
        <v>1159</v>
      </c>
      <c r="Z489" s="87" t="str">
        <f>HYPERLINK("https://twitter.com/sinxsan/status/1279333121662414848")</f>
        <v>https://twitter.com/sinxsan/status/1279333121662414848</v>
      </c>
      <c r="AA489" s="84"/>
      <c r="AB489" s="84"/>
      <c r="AC489" s="92" t="s">
        <v>1580</v>
      </c>
      <c r="AD489" s="92" t="s">
        <v>1579</v>
      </c>
      <c r="AE489" s="84" t="b">
        <v>0</v>
      </c>
      <c r="AF489" s="84">
        <v>4</v>
      </c>
      <c r="AG489" s="92" t="s">
        <v>1740</v>
      </c>
      <c r="AH489" s="84" t="b">
        <v>0</v>
      </c>
      <c r="AI489" s="84" t="s">
        <v>1750</v>
      </c>
      <c r="AJ489" s="84"/>
      <c r="AK489" s="92" t="s">
        <v>1724</v>
      </c>
      <c r="AL489" s="84" t="b">
        <v>0</v>
      </c>
      <c r="AM489" s="84">
        <v>0</v>
      </c>
      <c r="AN489" s="92" t="s">
        <v>1724</v>
      </c>
      <c r="AO489" s="84" t="s">
        <v>1766</v>
      </c>
      <c r="AP489" s="84" t="b">
        <v>0</v>
      </c>
      <c r="AQ489" s="92" t="s">
        <v>1579</v>
      </c>
      <c r="AR489" s="84" t="s">
        <v>179</v>
      </c>
      <c r="AS489" s="84">
        <v>0</v>
      </c>
      <c r="AT489" s="84">
        <v>0</v>
      </c>
      <c r="AU489" s="84"/>
      <c r="AV489" s="84"/>
      <c r="AW489" s="84"/>
      <c r="AX489" s="84"/>
      <c r="AY489" s="84"/>
      <c r="AZ489" s="84"/>
      <c r="BA489" s="84"/>
      <c r="BB489" s="84"/>
    </row>
    <row r="490" spans="1:54" x14ac:dyDescent="0.2">
      <c r="A490" s="69" t="s">
        <v>310</v>
      </c>
      <c r="B490" s="69" t="s">
        <v>363</v>
      </c>
      <c r="C490" s="70"/>
      <c r="D490" s="71"/>
      <c r="E490" s="72"/>
      <c r="F490" s="73"/>
      <c r="G490" s="70"/>
      <c r="H490" s="74"/>
      <c r="I490" s="75"/>
      <c r="J490" s="75"/>
      <c r="K490" s="36"/>
      <c r="L490" s="82"/>
      <c r="M490" s="82"/>
      <c r="N490" s="77"/>
      <c r="O490" s="84" t="s">
        <v>500</v>
      </c>
      <c r="P490" s="86">
        <v>44016.353541666664</v>
      </c>
      <c r="Q490" s="84" t="s">
        <v>592</v>
      </c>
      <c r="R490" s="84"/>
      <c r="S490" s="84"/>
      <c r="T490" s="84"/>
      <c r="U490" s="84"/>
      <c r="V490" s="87" t="str">
        <f>HYPERLINK("http://pbs.twimg.com/profile_images/1101502554653904896/EF5OM0tQ_normal.jpg")</f>
        <v>http://pbs.twimg.com/profile_images/1101502554653904896/EF5OM0tQ_normal.jpg</v>
      </c>
      <c r="W490" s="86">
        <v>44016.353541666664</v>
      </c>
      <c r="X490" s="90">
        <v>44016</v>
      </c>
      <c r="Y490" s="92" t="s">
        <v>976</v>
      </c>
      <c r="Z490" s="87" t="str">
        <f>HYPERLINK("https://twitter.com/almondx43/status/1279331387783274496")</f>
        <v>https://twitter.com/almondx43/status/1279331387783274496</v>
      </c>
      <c r="AA490" s="84"/>
      <c r="AB490" s="84"/>
      <c r="AC490" s="92" t="s">
        <v>1395</v>
      </c>
      <c r="AD490" s="84"/>
      <c r="AE490" s="84" t="b">
        <v>0</v>
      </c>
      <c r="AF490" s="84">
        <v>0</v>
      </c>
      <c r="AG490" s="92" t="s">
        <v>1724</v>
      </c>
      <c r="AH490" s="84" t="b">
        <v>0</v>
      </c>
      <c r="AI490" s="84" t="s">
        <v>1750</v>
      </c>
      <c r="AJ490" s="84"/>
      <c r="AK490" s="92" t="s">
        <v>1724</v>
      </c>
      <c r="AL490" s="84" t="b">
        <v>0</v>
      </c>
      <c r="AM490" s="84">
        <v>2</v>
      </c>
      <c r="AN490" s="92" t="s">
        <v>1568</v>
      </c>
      <c r="AO490" s="84" t="s">
        <v>1764</v>
      </c>
      <c r="AP490" s="84" t="b">
        <v>0</v>
      </c>
      <c r="AQ490" s="92" t="s">
        <v>1568</v>
      </c>
      <c r="AR490" s="84" t="s">
        <v>179</v>
      </c>
      <c r="AS490" s="84">
        <v>0</v>
      </c>
      <c r="AT490" s="84">
        <v>0</v>
      </c>
      <c r="AU490" s="84"/>
      <c r="AV490" s="84"/>
      <c r="AW490" s="84"/>
      <c r="AX490" s="84"/>
      <c r="AY490" s="84"/>
      <c r="AZ490" s="84"/>
      <c r="BA490" s="84"/>
      <c r="BB490" s="84"/>
    </row>
    <row r="491" spans="1:54" x14ac:dyDescent="0.2">
      <c r="A491" s="69" t="s">
        <v>357</v>
      </c>
      <c r="B491" s="69" t="s">
        <v>409</v>
      </c>
      <c r="C491" s="70"/>
      <c r="D491" s="71"/>
      <c r="E491" s="72"/>
      <c r="F491" s="73"/>
      <c r="G491" s="70"/>
      <c r="H491" s="74"/>
      <c r="I491" s="75"/>
      <c r="J491" s="75"/>
      <c r="K491" s="36"/>
      <c r="L491" s="82"/>
      <c r="M491" s="82"/>
      <c r="N491" s="77"/>
      <c r="O491" s="84" t="s">
        <v>500</v>
      </c>
      <c r="P491" s="86">
        <v>44016.345752314817</v>
      </c>
      <c r="Q491" s="84" t="s">
        <v>658</v>
      </c>
      <c r="R491" s="84"/>
      <c r="S491" s="84"/>
      <c r="T491" s="84"/>
      <c r="U491" s="84"/>
      <c r="V491" s="87" t="str">
        <f>HYPERLINK("http://pbs.twimg.com/profile_images/914368413673259009/gmggw-BO_normal.jpg")</f>
        <v>http://pbs.twimg.com/profile_images/914368413673259009/gmggw-BO_normal.jpg</v>
      </c>
      <c r="W491" s="86">
        <v>44016.345752314817</v>
      </c>
      <c r="X491" s="90">
        <v>44016</v>
      </c>
      <c r="Y491" s="92" t="s">
        <v>1065</v>
      </c>
      <c r="Z491" s="87" t="str">
        <f>HYPERLINK("https://twitter.com/magicalthorn/status/1279328566497300480")</f>
        <v>https://twitter.com/magicalthorn/status/1279328566497300480</v>
      </c>
      <c r="AA491" s="84"/>
      <c r="AB491" s="84"/>
      <c r="AC491" s="92" t="s">
        <v>1484</v>
      </c>
      <c r="AD491" s="84"/>
      <c r="AE491" s="84" t="b">
        <v>0</v>
      </c>
      <c r="AF491" s="84">
        <v>0</v>
      </c>
      <c r="AG491" s="92" t="s">
        <v>1724</v>
      </c>
      <c r="AH491" s="84" t="b">
        <v>0</v>
      </c>
      <c r="AI491" s="84" t="s">
        <v>1750</v>
      </c>
      <c r="AJ491" s="84"/>
      <c r="AK491" s="92" t="s">
        <v>1724</v>
      </c>
      <c r="AL491" s="84" t="b">
        <v>0</v>
      </c>
      <c r="AM491" s="84">
        <v>1</v>
      </c>
      <c r="AN491" s="92" t="s">
        <v>1579</v>
      </c>
      <c r="AO491" s="84" t="s">
        <v>1766</v>
      </c>
      <c r="AP491" s="84" t="b">
        <v>0</v>
      </c>
      <c r="AQ491" s="92" t="s">
        <v>1579</v>
      </c>
      <c r="AR491" s="84" t="s">
        <v>179</v>
      </c>
      <c r="AS491" s="84">
        <v>0</v>
      </c>
      <c r="AT491" s="84">
        <v>0</v>
      </c>
      <c r="AU491" s="84"/>
      <c r="AV491" s="84"/>
      <c r="AW491" s="84"/>
      <c r="AX491" s="84"/>
      <c r="AY491" s="84"/>
      <c r="AZ491" s="84"/>
      <c r="BA491" s="84"/>
      <c r="BB491" s="84"/>
    </row>
    <row r="492" spans="1:54" x14ac:dyDescent="0.2">
      <c r="A492" s="69" t="s">
        <v>316</v>
      </c>
      <c r="B492" s="69" t="s">
        <v>316</v>
      </c>
      <c r="C492" s="70"/>
      <c r="D492" s="71"/>
      <c r="E492" s="72"/>
      <c r="F492" s="73"/>
      <c r="G492" s="70"/>
      <c r="H492" s="74"/>
      <c r="I492" s="75"/>
      <c r="J492" s="75"/>
      <c r="K492" s="36"/>
      <c r="L492" s="82"/>
      <c r="M492" s="82"/>
      <c r="N492" s="77"/>
      <c r="O492" s="84" t="s">
        <v>179</v>
      </c>
      <c r="P492" s="86">
        <v>44016.311736111114</v>
      </c>
      <c r="Q492" s="84" t="s">
        <v>610</v>
      </c>
      <c r="R492" s="87" t="str">
        <f>HYPERLINK("https://www.ebay.com/itm/Ray-Ban-Denim-Wayfarer-Sunglasses-RB2140-Blue-/174246174362")</f>
        <v>https://www.ebay.com/itm/Ray-Ban-Denim-Wayfarer-Sunglasses-RB2140-Blue-/174246174362</v>
      </c>
      <c r="S492" s="84" t="s">
        <v>773</v>
      </c>
      <c r="T492" s="84" t="s">
        <v>823</v>
      </c>
      <c r="U492" s="87" t="str">
        <f>HYPERLINK("https://pbs.twimg.com/media/EcELVqwWoAELEnv.jpg")</f>
        <v>https://pbs.twimg.com/media/EcELVqwWoAELEnv.jpg</v>
      </c>
      <c r="V492" s="87" t="str">
        <f>HYPERLINK("https://pbs.twimg.com/media/EcELVqwWoAELEnv.jpg")</f>
        <v>https://pbs.twimg.com/media/EcELVqwWoAELEnv.jpg</v>
      </c>
      <c r="W492" s="86">
        <v>44016.311736111114</v>
      </c>
      <c r="X492" s="90">
        <v>44016</v>
      </c>
      <c r="Y492" s="92" t="s">
        <v>997</v>
      </c>
      <c r="Z492" s="87" t="str">
        <f>HYPERLINK("https://twitter.com/esquireattire/status/1279316237353451521")</f>
        <v>https://twitter.com/esquireattire/status/1279316237353451521</v>
      </c>
      <c r="AA492" s="84"/>
      <c r="AB492" s="84"/>
      <c r="AC492" s="92" t="s">
        <v>1416</v>
      </c>
      <c r="AD492" s="84"/>
      <c r="AE492" s="84" t="b">
        <v>0</v>
      </c>
      <c r="AF492" s="84">
        <v>0</v>
      </c>
      <c r="AG492" s="92" t="s">
        <v>1724</v>
      </c>
      <c r="AH492" s="84" t="b">
        <v>0</v>
      </c>
      <c r="AI492" s="84" t="s">
        <v>1751</v>
      </c>
      <c r="AJ492" s="84"/>
      <c r="AK492" s="92" t="s">
        <v>1724</v>
      </c>
      <c r="AL492" s="84" t="b">
        <v>0</v>
      </c>
      <c r="AM492" s="84">
        <v>0</v>
      </c>
      <c r="AN492" s="92" t="s">
        <v>1724</v>
      </c>
      <c r="AO492" s="84" t="s">
        <v>1780</v>
      </c>
      <c r="AP492" s="84" t="b">
        <v>0</v>
      </c>
      <c r="AQ492" s="92" t="s">
        <v>1416</v>
      </c>
      <c r="AR492" s="84" t="s">
        <v>179</v>
      </c>
      <c r="AS492" s="84">
        <v>0</v>
      </c>
      <c r="AT492" s="84">
        <v>0</v>
      </c>
      <c r="AU492" s="84"/>
      <c r="AV492" s="84"/>
      <c r="AW492" s="84"/>
      <c r="AX492" s="84"/>
      <c r="AY492" s="84"/>
      <c r="AZ492" s="84"/>
      <c r="BA492" s="84"/>
      <c r="BB492" s="84"/>
    </row>
    <row r="493" spans="1:54" x14ac:dyDescent="0.2">
      <c r="A493" s="69" t="s">
        <v>436</v>
      </c>
      <c r="B493" s="69" t="s">
        <v>435</v>
      </c>
      <c r="C493" s="70"/>
      <c r="D493" s="71"/>
      <c r="E493" s="72"/>
      <c r="F493" s="73"/>
      <c r="G493" s="70"/>
      <c r="H493" s="74"/>
      <c r="I493" s="75"/>
      <c r="J493" s="75"/>
      <c r="K493" s="36"/>
      <c r="L493" s="82"/>
      <c r="M493" s="82"/>
      <c r="N493" s="77"/>
      <c r="O493" s="84" t="s">
        <v>500</v>
      </c>
      <c r="P493" s="86">
        <v>44016.301446759258</v>
      </c>
      <c r="Q493" s="84" t="s">
        <v>724</v>
      </c>
      <c r="R493" s="84"/>
      <c r="S493" s="84"/>
      <c r="T493" s="84" t="s">
        <v>781</v>
      </c>
      <c r="U493" s="87" t="str">
        <f>HYPERLINK("https://pbs.twimg.com/media/EcD1XGuU4AEm-Kx.jpg")</f>
        <v>https://pbs.twimg.com/media/EcD1XGuU4AEm-Kx.jpg</v>
      </c>
      <c r="V493" s="87" t="str">
        <f>HYPERLINK("https://pbs.twimg.com/media/EcD1XGuU4AEm-Kx.jpg")</f>
        <v>https://pbs.twimg.com/media/EcD1XGuU4AEm-Kx.jpg</v>
      </c>
      <c r="W493" s="86">
        <v>44016.301446759258</v>
      </c>
      <c r="X493" s="90">
        <v>44016</v>
      </c>
      <c r="Y493" s="92" t="s">
        <v>1211</v>
      </c>
      <c r="Z493" s="87" t="str">
        <f>HYPERLINK("https://twitter.com/waiwai5321/status/1279312509049032704")</f>
        <v>https://twitter.com/waiwai5321/status/1279312509049032704</v>
      </c>
      <c r="AA493" s="84"/>
      <c r="AB493" s="84"/>
      <c r="AC493" s="92" t="s">
        <v>1632</v>
      </c>
      <c r="AD493" s="84"/>
      <c r="AE493" s="84" t="b">
        <v>0</v>
      </c>
      <c r="AF493" s="84">
        <v>0</v>
      </c>
      <c r="AG493" s="92" t="s">
        <v>1724</v>
      </c>
      <c r="AH493" s="84" t="b">
        <v>0</v>
      </c>
      <c r="AI493" s="84" t="s">
        <v>1750</v>
      </c>
      <c r="AJ493" s="84"/>
      <c r="AK493" s="92" t="s">
        <v>1724</v>
      </c>
      <c r="AL493" s="84" t="b">
        <v>0</v>
      </c>
      <c r="AM493" s="84">
        <v>1</v>
      </c>
      <c r="AN493" s="92" t="s">
        <v>1631</v>
      </c>
      <c r="AO493" s="84" t="s">
        <v>1763</v>
      </c>
      <c r="AP493" s="84" t="b">
        <v>0</v>
      </c>
      <c r="AQ493" s="92" t="s">
        <v>1631</v>
      </c>
      <c r="AR493" s="84" t="s">
        <v>179</v>
      </c>
      <c r="AS493" s="84">
        <v>0</v>
      </c>
      <c r="AT493" s="84">
        <v>0</v>
      </c>
      <c r="AU493" s="84"/>
      <c r="AV493" s="84"/>
      <c r="AW493" s="84"/>
      <c r="AX493" s="84"/>
      <c r="AY493" s="84"/>
      <c r="AZ493" s="84"/>
      <c r="BA493" s="84"/>
      <c r="BB493" s="84"/>
    </row>
    <row r="494" spans="1:54" x14ac:dyDescent="0.2">
      <c r="A494" s="69" t="s">
        <v>435</v>
      </c>
      <c r="B494" s="69" t="s">
        <v>435</v>
      </c>
      <c r="C494" s="70"/>
      <c r="D494" s="71"/>
      <c r="E494" s="72"/>
      <c r="F494" s="73"/>
      <c r="G494" s="70"/>
      <c r="H494" s="74"/>
      <c r="I494" s="75"/>
      <c r="J494" s="75"/>
      <c r="K494" s="36"/>
      <c r="L494" s="82"/>
      <c r="M494" s="82"/>
      <c r="N494" s="77"/>
      <c r="O494" s="84" t="s">
        <v>179</v>
      </c>
      <c r="P494" s="86">
        <v>44016.245069444441</v>
      </c>
      <c r="Q494" s="84" t="s">
        <v>724</v>
      </c>
      <c r="R494" s="84"/>
      <c r="S494" s="84"/>
      <c r="T494" s="84" t="s">
        <v>781</v>
      </c>
      <c r="U494" s="87" t="str">
        <f>HYPERLINK("https://pbs.twimg.com/media/EcD1XGuU4AEm-Kx.jpg")</f>
        <v>https://pbs.twimg.com/media/EcD1XGuU4AEm-Kx.jpg</v>
      </c>
      <c r="V494" s="87" t="str">
        <f>HYPERLINK("https://pbs.twimg.com/media/EcD1XGuU4AEm-Kx.jpg")</f>
        <v>https://pbs.twimg.com/media/EcD1XGuU4AEm-Kx.jpg</v>
      </c>
      <c r="W494" s="86">
        <v>44016.245069444441</v>
      </c>
      <c r="X494" s="90">
        <v>44016</v>
      </c>
      <c r="Y494" s="92" t="s">
        <v>1210</v>
      </c>
      <c r="Z494" s="87" t="str">
        <f>HYPERLINK("https://twitter.com/ucmkpni/status/1279292080209055744")</f>
        <v>https://twitter.com/ucmkpni/status/1279292080209055744</v>
      </c>
      <c r="AA494" s="84"/>
      <c r="AB494" s="84"/>
      <c r="AC494" s="92" t="s">
        <v>1631</v>
      </c>
      <c r="AD494" s="84"/>
      <c r="AE494" s="84" t="b">
        <v>0</v>
      </c>
      <c r="AF494" s="84">
        <v>6</v>
      </c>
      <c r="AG494" s="92" t="s">
        <v>1724</v>
      </c>
      <c r="AH494" s="84" t="b">
        <v>0</v>
      </c>
      <c r="AI494" s="84" t="s">
        <v>1750</v>
      </c>
      <c r="AJ494" s="84"/>
      <c r="AK494" s="92" t="s">
        <v>1724</v>
      </c>
      <c r="AL494" s="84" t="b">
        <v>0</v>
      </c>
      <c r="AM494" s="84">
        <v>1</v>
      </c>
      <c r="AN494" s="92" t="s">
        <v>1724</v>
      </c>
      <c r="AO494" s="84" t="s">
        <v>1763</v>
      </c>
      <c r="AP494" s="84" t="b">
        <v>0</v>
      </c>
      <c r="AQ494" s="92" t="s">
        <v>1631</v>
      </c>
      <c r="AR494" s="84" t="s">
        <v>179</v>
      </c>
      <c r="AS494" s="84">
        <v>0</v>
      </c>
      <c r="AT494" s="84">
        <v>0</v>
      </c>
      <c r="AU494" s="84"/>
      <c r="AV494" s="84"/>
      <c r="AW494" s="84"/>
      <c r="AX494" s="84"/>
      <c r="AY494" s="84"/>
      <c r="AZ494" s="84"/>
      <c r="BA494" s="84"/>
      <c r="BB494" s="84"/>
    </row>
    <row r="495" spans="1:54" x14ac:dyDescent="0.2">
      <c r="A495" s="69" t="s">
        <v>435</v>
      </c>
      <c r="B495" s="69" t="s">
        <v>435</v>
      </c>
      <c r="C495" s="70"/>
      <c r="D495" s="71"/>
      <c r="E495" s="72"/>
      <c r="F495" s="73"/>
      <c r="G495" s="70"/>
      <c r="H495" s="74"/>
      <c r="I495" s="75"/>
      <c r="J495" s="75"/>
      <c r="K495" s="36"/>
      <c r="L495" s="82"/>
      <c r="M495" s="82"/>
      <c r="N495" s="77"/>
      <c r="O495" s="84" t="s">
        <v>179</v>
      </c>
      <c r="P495" s="86">
        <v>44016.228888888887</v>
      </c>
      <c r="Q495" s="84" t="s">
        <v>723</v>
      </c>
      <c r="R495" s="84"/>
      <c r="S495" s="84"/>
      <c r="T495" s="84" t="s">
        <v>781</v>
      </c>
      <c r="U495" s="87" t="str">
        <f>HYPERLINK("https://pbs.twimg.com/media/EcDwB2dUYAIh7SU.jpg")</f>
        <v>https://pbs.twimg.com/media/EcDwB2dUYAIh7SU.jpg</v>
      </c>
      <c r="V495" s="87" t="str">
        <f>HYPERLINK("https://pbs.twimg.com/media/EcDwB2dUYAIh7SU.jpg")</f>
        <v>https://pbs.twimg.com/media/EcDwB2dUYAIh7SU.jpg</v>
      </c>
      <c r="W495" s="86">
        <v>44016.228888888887</v>
      </c>
      <c r="X495" s="90">
        <v>44016</v>
      </c>
      <c r="Y495" s="92" t="s">
        <v>1209</v>
      </c>
      <c r="Z495" s="87" t="str">
        <f>HYPERLINK("https://twitter.com/ucmkpni/status/1279286214751739905")</f>
        <v>https://twitter.com/ucmkpni/status/1279286214751739905</v>
      </c>
      <c r="AA495" s="84"/>
      <c r="AB495" s="84"/>
      <c r="AC495" s="92" t="s">
        <v>1630</v>
      </c>
      <c r="AD495" s="84"/>
      <c r="AE495" s="84" t="b">
        <v>0</v>
      </c>
      <c r="AF495" s="84">
        <v>12</v>
      </c>
      <c r="AG495" s="92" t="s">
        <v>1724</v>
      </c>
      <c r="AH495" s="84" t="b">
        <v>0</v>
      </c>
      <c r="AI495" s="84" t="s">
        <v>1750</v>
      </c>
      <c r="AJ495" s="84"/>
      <c r="AK495" s="92" t="s">
        <v>1724</v>
      </c>
      <c r="AL495" s="84" t="b">
        <v>0</v>
      </c>
      <c r="AM495" s="84">
        <v>0</v>
      </c>
      <c r="AN495" s="92" t="s">
        <v>1724</v>
      </c>
      <c r="AO495" s="84" t="s">
        <v>1763</v>
      </c>
      <c r="AP495" s="84" t="b">
        <v>0</v>
      </c>
      <c r="AQ495" s="92" t="s">
        <v>1630</v>
      </c>
      <c r="AR495" s="84" t="s">
        <v>179</v>
      </c>
      <c r="AS495" s="84">
        <v>0</v>
      </c>
      <c r="AT495" s="84">
        <v>0</v>
      </c>
      <c r="AU495" s="84"/>
      <c r="AV495" s="84"/>
      <c r="AW495" s="84"/>
      <c r="AX495" s="84"/>
      <c r="AY495" s="84"/>
      <c r="AZ495" s="84"/>
      <c r="BA495" s="84"/>
      <c r="BB495" s="84"/>
    </row>
    <row r="496" spans="1:54" x14ac:dyDescent="0.2">
      <c r="A496" s="69" t="s">
        <v>408</v>
      </c>
      <c r="B496" s="69" t="s">
        <v>363</v>
      </c>
      <c r="C496" s="70"/>
      <c r="D496" s="71"/>
      <c r="E496" s="72"/>
      <c r="F496" s="73"/>
      <c r="G496" s="70"/>
      <c r="H496" s="74"/>
      <c r="I496" s="75"/>
      <c r="J496" s="75"/>
      <c r="K496" s="36"/>
      <c r="L496" s="82"/>
      <c r="M496" s="82"/>
      <c r="N496" s="77"/>
      <c r="O496" s="84" t="s">
        <v>500</v>
      </c>
      <c r="P496" s="86">
        <v>44016.201620370368</v>
      </c>
      <c r="Q496" s="84" t="s">
        <v>692</v>
      </c>
      <c r="R496" s="84"/>
      <c r="S496" s="84"/>
      <c r="T496" s="84"/>
      <c r="U496" s="84"/>
      <c r="V496" s="87" t="str">
        <f>HYPERLINK("http://pbs.twimg.com/profile_images/1262859678121263104/DecomVhL_normal.jpg")</f>
        <v>http://pbs.twimg.com/profile_images/1262859678121263104/DecomVhL_normal.jpg</v>
      </c>
      <c r="W496" s="86">
        <v>44016.201620370368</v>
      </c>
      <c r="X496" s="90">
        <v>44016</v>
      </c>
      <c r="Y496" s="92" t="s">
        <v>1151</v>
      </c>
      <c r="Z496" s="87" t="str">
        <f>HYPERLINK("https://twitter.com/hirocos2/status/1279276333084729344")</f>
        <v>https://twitter.com/hirocos2/status/1279276333084729344</v>
      </c>
      <c r="AA496" s="84"/>
      <c r="AB496" s="84"/>
      <c r="AC496" s="92" t="s">
        <v>1572</v>
      </c>
      <c r="AD496" s="84"/>
      <c r="AE496" s="84" t="b">
        <v>0</v>
      </c>
      <c r="AF496" s="84">
        <v>0</v>
      </c>
      <c r="AG496" s="92" t="s">
        <v>1724</v>
      </c>
      <c r="AH496" s="84" t="b">
        <v>0</v>
      </c>
      <c r="AI496" s="84" t="s">
        <v>1750</v>
      </c>
      <c r="AJ496" s="84"/>
      <c r="AK496" s="92" t="s">
        <v>1724</v>
      </c>
      <c r="AL496" s="84" t="b">
        <v>0</v>
      </c>
      <c r="AM496" s="84">
        <v>1</v>
      </c>
      <c r="AN496" s="92" t="s">
        <v>1569</v>
      </c>
      <c r="AO496" s="84" t="s">
        <v>1763</v>
      </c>
      <c r="AP496" s="84" t="b">
        <v>0</v>
      </c>
      <c r="AQ496" s="92" t="s">
        <v>1569</v>
      </c>
      <c r="AR496" s="84" t="s">
        <v>179</v>
      </c>
      <c r="AS496" s="84">
        <v>0</v>
      </c>
      <c r="AT496" s="84">
        <v>0</v>
      </c>
      <c r="AU496" s="84"/>
      <c r="AV496" s="84"/>
      <c r="AW496" s="84"/>
      <c r="AX496" s="84"/>
      <c r="AY496" s="84"/>
      <c r="AZ496" s="84"/>
      <c r="BA496" s="84"/>
      <c r="BB496" s="84"/>
    </row>
    <row r="497" spans="1:54" x14ac:dyDescent="0.2">
      <c r="A497" s="69" t="s">
        <v>363</v>
      </c>
      <c r="B497" s="69" t="s">
        <v>363</v>
      </c>
      <c r="C497" s="70"/>
      <c r="D497" s="71"/>
      <c r="E497" s="72"/>
      <c r="F497" s="73"/>
      <c r="G497" s="70"/>
      <c r="H497" s="74"/>
      <c r="I497" s="75"/>
      <c r="J497" s="75"/>
      <c r="K497" s="36"/>
      <c r="L497" s="82"/>
      <c r="M497" s="82"/>
      <c r="N497" s="77"/>
      <c r="O497" s="84" t="s">
        <v>179</v>
      </c>
      <c r="P497" s="86">
        <v>44016.198553240742</v>
      </c>
      <c r="Q497" s="84" t="s">
        <v>692</v>
      </c>
      <c r="R497" s="84"/>
      <c r="S497" s="84"/>
      <c r="T497" s="84" t="s">
        <v>781</v>
      </c>
      <c r="U497" s="87" t="str">
        <f>HYPERLINK("https://pbs.twimg.com/media/EcDmCKAUcAore3H.jpg")</f>
        <v>https://pbs.twimg.com/media/EcDmCKAUcAore3H.jpg</v>
      </c>
      <c r="V497" s="87" t="str">
        <f>HYPERLINK("https://pbs.twimg.com/media/EcDmCKAUcAore3H.jpg")</f>
        <v>https://pbs.twimg.com/media/EcDmCKAUcAore3H.jpg</v>
      </c>
      <c r="W497" s="86">
        <v>44016.198553240742</v>
      </c>
      <c r="X497" s="90">
        <v>44016</v>
      </c>
      <c r="Y497" s="92" t="s">
        <v>1148</v>
      </c>
      <c r="Z497" s="87" t="str">
        <f>HYPERLINK("https://twitter.com/mino_0916/status/1279275222718279682")</f>
        <v>https://twitter.com/mino_0916/status/1279275222718279682</v>
      </c>
      <c r="AA497" s="84"/>
      <c r="AB497" s="84"/>
      <c r="AC497" s="92" t="s">
        <v>1569</v>
      </c>
      <c r="AD497" s="84"/>
      <c r="AE497" s="84" t="b">
        <v>0</v>
      </c>
      <c r="AF497" s="84">
        <v>22</v>
      </c>
      <c r="AG497" s="92" t="s">
        <v>1724</v>
      </c>
      <c r="AH497" s="84" t="b">
        <v>0</v>
      </c>
      <c r="AI497" s="84" t="s">
        <v>1750</v>
      </c>
      <c r="AJ497" s="84"/>
      <c r="AK497" s="92" t="s">
        <v>1724</v>
      </c>
      <c r="AL497" s="84" t="b">
        <v>0</v>
      </c>
      <c r="AM497" s="84">
        <v>1</v>
      </c>
      <c r="AN497" s="92" t="s">
        <v>1724</v>
      </c>
      <c r="AO497" s="84" t="s">
        <v>1763</v>
      </c>
      <c r="AP497" s="84" t="b">
        <v>0</v>
      </c>
      <c r="AQ497" s="92" t="s">
        <v>1569</v>
      </c>
      <c r="AR497" s="84" t="s">
        <v>179</v>
      </c>
      <c r="AS497" s="84">
        <v>0</v>
      </c>
      <c r="AT497" s="84">
        <v>0</v>
      </c>
      <c r="AU497" s="84"/>
      <c r="AV497" s="84"/>
      <c r="AW497" s="84"/>
      <c r="AX497" s="84"/>
      <c r="AY497" s="84"/>
      <c r="AZ497" s="84"/>
      <c r="BA497" s="84"/>
      <c r="BB497" s="84"/>
    </row>
    <row r="498" spans="1:54" x14ac:dyDescent="0.2">
      <c r="A498" s="69" t="s">
        <v>362</v>
      </c>
      <c r="B498" s="69" t="s">
        <v>363</v>
      </c>
      <c r="C498" s="70"/>
      <c r="D498" s="71"/>
      <c r="E498" s="72"/>
      <c r="F498" s="73"/>
      <c r="G498" s="70"/>
      <c r="H498" s="74"/>
      <c r="I498" s="75"/>
      <c r="J498" s="75"/>
      <c r="K498" s="36"/>
      <c r="L498" s="82"/>
      <c r="M498" s="82"/>
      <c r="N498" s="77"/>
      <c r="O498" s="84" t="s">
        <v>500</v>
      </c>
      <c r="P498" s="86">
        <v>44016.180081018516</v>
      </c>
      <c r="Q498" s="84" t="s">
        <v>592</v>
      </c>
      <c r="R498" s="84"/>
      <c r="S498" s="84"/>
      <c r="T498" s="84"/>
      <c r="U498" s="84"/>
      <c r="V498" s="87" t="str">
        <f>HYPERLINK("http://pbs.twimg.com/profile_images/1279385532527554560/YNNczgpR_normal.jpg")</f>
        <v>http://pbs.twimg.com/profile_images/1279385532527554560/YNNczgpR_normal.jpg</v>
      </c>
      <c r="W498" s="86">
        <v>44016.180081018516</v>
      </c>
      <c r="X498" s="90">
        <v>44016</v>
      </c>
      <c r="Y498" s="92" t="s">
        <v>1084</v>
      </c>
      <c r="Z498" s="87" t="str">
        <f>HYPERLINK("https://twitter.com/twoasiyesquire/status/1279268526788755456")</f>
        <v>https://twitter.com/twoasiyesquire/status/1279268526788755456</v>
      </c>
      <c r="AA498" s="84"/>
      <c r="AB498" s="84"/>
      <c r="AC498" s="92" t="s">
        <v>1503</v>
      </c>
      <c r="AD498" s="84"/>
      <c r="AE498" s="84" t="b">
        <v>0</v>
      </c>
      <c r="AF498" s="84">
        <v>0</v>
      </c>
      <c r="AG498" s="92" t="s">
        <v>1724</v>
      </c>
      <c r="AH498" s="84" t="b">
        <v>0</v>
      </c>
      <c r="AI498" s="84" t="s">
        <v>1750</v>
      </c>
      <c r="AJ498" s="84"/>
      <c r="AK498" s="92" t="s">
        <v>1724</v>
      </c>
      <c r="AL498" s="84" t="b">
        <v>0</v>
      </c>
      <c r="AM498" s="84">
        <v>2</v>
      </c>
      <c r="AN498" s="92" t="s">
        <v>1568</v>
      </c>
      <c r="AO498" s="84" t="s">
        <v>1763</v>
      </c>
      <c r="AP498" s="84" t="b">
        <v>0</v>
      </c>
      <c r="AQ498" s="92" t="s">
        <v>1568</v>
      </c>
      <c r="AR498" s="84" t="s">
        <v>179</v>
      </c>
      <c r="AS498" s="84">
        <v>0</v>
      </c>
      <c r="AT498" s="84">
        <v>0</v>
      </c>
      <c r="AU498" s="84"/>
      <c r="AV498" s="84"/>
      <c r="AW498" s="84"/>
      <c r="AX498" s="84"/>
      <c r="AY498" s="84"/>
      <c r="AZ498" s="84"/>
      <c r="BA498" s="84"/>
      <c r="BB498" s="84"/>
    </row>
    <row r="499" spans="1:54" x14ac:dyDescent="0.2">
      <c r="A499" s="69" t="s">
        <v>363</v>
      </c>
      <c r="B499" s="69" t="s">
        <v>363</v>
      </c>
      <c r="C499" s="70"/>
      <c r="D499" s="71"/>
      <c r="E499" s="72"/>
      <c r="F499" s="73"/>
      <c r="G499" s="70"/>
      <c r="H499" s="74"/>
      <c r="I499" s="75"/>
      <c r="J499" s="75"/>
      <c r="K499" s="36"/>
      <c r="L499" s="82"/>
      <c r="M499" s="82"/>
      <c r="N499" s="77"/>
      <c r="O499" s="84" t="s">
        <v>179</v>
      </c>
      <c r="P499" s="86">
        <v>44016.169444444444</v>
      </c>
      <c r="Q499" s="84" t="s">
        <v>592</v>
      </c>
      <c r="R499" s="84"/>
      <c r="S499" s="84"/>
      <c r="T499" s="84" t="s">
        <v>811</v>
      </c>
      <c r="U499" s="87" t="str">
        <f>HYPERLINK("https://pbs.twimg.com/media/EcDcb9rUYAER3x_.jpg")</f>
        <v>https://pbs.twimg.com/media/EcDcb9rUYAER3x_.jpg</v>
      </c>
      <c r="V499" s="87" t="str">
        <f>HYPERLINK("https://pbs.twimg.com/media/EcDcb9rUYAER3x_.jpg")</f>
        <v>https://pbs.twimg.com/media/EcDcb9rUYAER3x_.jpg</v>
      </c>
      <c r="W499" s="86">
        <v>44016.169444444444</v>
      </c>
      <c r="X499" s="90">
        <v>44016</v>
      </c>
      <c r="Y499" s="92" t="s">
        <v>1147</v>
      </c>
      <c r="Z499" s="87" t="str">
        <f>HYPERLINK("https://twitter.com/mino_0916/status/1279264671950766080")</f>
        <v>https://twitter.com/mino_0916/status/1279264671950766080</v>
      </c>
      <c r="AA499" s="84"/>
      <c r="AB499" s="84"/>
      <c r="AC499" s="92" t="s">
        <v>1568</v>
      </c>
      <c r="AD499" s="84"/>
      <c r="AE499" s="84" t="b">
        <v>0</v>
      </c>
      <c r="AF499" s="84">
        <v>15</v>
      </c>
      <c r="AG499" s="92" t="s">
        <v>1724</v>
      </c>
      <c r="AH499" s="84" t="b">
        <v>0</v>
      </c>
      <c r="AI499" s="84" t="s">
        <v>1750</v>
      </c>
      <c r="AJ499" s="84"/>
      <c r="AK499" s="92" t="s">
        <v>1724</v>
      </c>
      <c r="AL499" s="84" t="b">
        <v>0</v>
      </c>
      <c r="AM499" s="84">
        <v>2</v>
      </c>
      <c r="AN499" s="92" t="s">
        <v>1724</v>
      </c>
      <c r="AO499" s="84" t="s">
        <v>1763</v>
      </c>
      <c r="AP499" s="84" t="b">
        <v>0</v>
      </c>
      <c r="AQ499" s="92" t="s">
        <v>1568</v>
      </c>
      <c r="AR499" s="84" t="s">
        <v>179</v>
      </c>
      <c r="AS499" s="84">
        <v>0</v>
      </c>
      <c r="AT499" s="84">
        <v>0</v>
      </c>
      <c r="AU499" s="84"/>
      <c r="AV499" s="84"/>
      <c r="AW499" s="84"/>
      <c r="AX499" s="84"/>
      <c r="AY499" s="84"/>
      <c r="AZ499" s="84"/>
      <c r="BA499" s="84"/>
      <c r="BB499" s="84"/>
    </row>
    <row r="500" spans="1:54" x14ac:dyDescent="0.2">
      <c r="A500" s="69" t="s">
        <v>295</v>
      </c>
      <c r="B500" s="69" t="s">
        <v>295</v>
      </c>
      <c r="C500" s="70"/>
      <c r="D500" s="71"/>
      <c r="E500" s="72"/>
      <c r="F500" s="73"/>
      <c r="G500" s="70"/>
      <c r="H500" s="74"/>
      <c r="I500" s="75"/>
      <c r="J500" s="75"/>
      <c r="K500" s="36"/>
      <c r="L500" s="82"/>
      <c r="M500" s="82"/>
      <c r="N500" s="77"/>
      <c r="O500" s="84" t="s">
        <v>179</v>
      </c>
      <c r="P500" s="86">
        <v>44016.11041666667</v>
      </c>
      <c r="Q500" s="84" t="s">
        <v>578</v>
      </c>
      <c r="R500" s="84"/>
      <c r="S500" s="84"/>
      <c r="T500" s="84" t="s">
        <v>810</v>
      </c>
      <c r="U500" s="87" t="str">
        <f>HYPERLINK("https://pbs.twimg.com/media/EcDI-4wUwAUgdV-.jpg")</f>
        <v>https://pbs.twimg.com/media/EcDI-4wUwAUgdV-.jpg</v>
      </c>
      <c r="V500" s="87" t="str">
        <f>HYPERLINK("https://pbs.twimg.com/media/EcDI-4wUwAUgdV-.jpg")</f>
        <v>https://pbs.twimg.com/media/EcDI-4wUwAUgdV-.jpg</v>
      </c>
      <c r="W500" s="86">
        <v>44016.11041666667</v>
      </c>
      <c r="X500" s="90">
        <v>44016</v>
      </c>
      <c r="Y500" s="92" t="s">
        <v>960</v>
      </c>
      <c r="Z500" s="87" t="str">
        <f>HYPERLINK("https://twitter.com/tajurina/status/1279243282518732800")</f>
        <v>https://twitter.com/tajurina/status/1279243282518732800</v>
      </c>
      <c r="AA500" s="84"/>
      <c r="AB500" s="84"/>
      <c r="AC500" s="92" t="s">
        <v>1379</v>
      </c>
      <c r="AD500" s="84"/>
      <c r="AE500" s="84" t="b">
        <v>0</v>
      </c>
      <c r="AF500" s="84">
        <v>1</v>
      </c>
      <c r="AG500" s="92" t="s">
        <v>1724</v>
      </c>
      <c r="AH500" s="84" t="b">
        <v>0</v>
      </c>
      <c r="AI500" s="84" t="s">
        <v>1750</v>
      </c>
      <c r="AJ500" s="84"/>
      <c r="AK500" s="92" t="s">
        <v>1724</v>
      </c>
      <c r="AL500" s="84" t="b">
        <v>0</v>
      </c>
      <c r="AM500" s="84">
        <v>0</v>
      </c>
      <c r="AN500" s="92" t="s">
        <v>1724</v>
      </c>
      <c r="AO500" s="84" t="s">
        <v>1763</v>
      </c>
      <c r="AP500" s="84" t="b">
        <v>0</v>
      </c>
      <c r="AQ500" s="92" t="s">
        <v>1379</v>
      </c>
      <c r="AR500" s="84" t="s">
        <v>179</v>
      </c>
      <c r="AS500" s="84">
        <v>0</v>
      </c>
      <c r="AT500" s="84">
        <v>0</v>
      </c>
      <c r="AU500" s="84"/>
      <c r="AV500" s="84"/>
      <c r="AW500" s="84"/>
      <c r="AX500" s="84"/>
      <c r="AY500" s="84"/>
      <c r="AZ500" s="84"/>
      <c r="BA500" s="84"/>
      <c r="BB500" s="84"/>
    </row>
    <row r="501" spans="1:54" x14ac:dyDescent="0.2">
      <c r="A501" s="69" t="s">
        <v>220</v>
      </c>
      <c r="B501" s="69" t="s">
        <v>220</v>
      </c>
      <c r="C501" s="70"/>
      <c r="D501" s="71"/>
      <c r="E501" s="72"/>
      <c r="F501" s="73"/>
      <c r="G501" s="70"/>
      <c r="H501" s="74"/>
      <c r="I501" s="75"/>
      <c r="J501" s="75"/>
      <c r="K501" s="36"/>
      <c r="L501" s="82"/>
      <c r="M501" s="82"/>
      <c r="N501" s="77"/>
      <c r="O501" s="84" t="s">
        <v>179</v>
      </c>
      <c r="P501" s="86">
        <v>44016.067604166667</v>
      </c>
      <c r="Q501" s="84" t="s">
        <v>507</v>
      </c>
      <c r="R501" s="84"/>
      <c r="S501" s="84"/>
      <c r="T501" s="84" t="s">
        <v>781</v>
      </c>
      <c r="U501" s="87" t="str">
        <f>HYPERLINK("https://pbs.twimg.com/media/EcC633nUwAAjbML.jpg")</f>
        <v>https://pbs.twimg.com/media/EcC633nUwAAjbML.jpg</v>
      </c>
      <c r="V501" s="87" t="str">
        <f>HYPERLINK("https://pbs.twimg.com/media/EcC633nUwAAjbML.jpg")</f>
        <v>https://pbs.twimg.com/media/EcC633nUwAAjbML.jpg</v>
      </c>
      <c r="W501" s="86">
        <v>44016.067604166667</v>
      </c>
      <c r="X501" s="90">
        <v>44016</v>
      </c>
      <c r="Y501" s="92" t="s">
        <v>865</v>
      </c>
      <c r="Z501" s="87" t="str">
        <f>HYPERLINK("https://twitter.com/pik3po/status/1279227767167438848")</f>
        <v>https://twitter.com/pik3po/status/1279227767167438848</v>
      </c>
      <c r="AA501" s="84"/>
      <c r="AB501" s="84"/>
      <c r="AC501" s="92" t="s">
        <v>1284</v>
      </c>
      <c r="AD501" s="84"/>
      <c r="AE501" s="84" t="b">
        <v>0</v>
      </c>
      <c r="AF501" s="84">
        <v>0</v>
      </c>
      <c r="AG501" s="92" t="s">
        <v>1724</v>
      </c>
      <c r="AH501" s="84" t="b">
        <v>0</v>
      </c>
      <c r="AI501" s="84" t="s">
        <v>1750</v>
      </c>
      <c r="AJ501" s="84"/>
      <c r="AK501" s="92" t="s">
        <v>1724</v>
      </c>
      <c r="AL501" s="84" t="b">
        <v>0</v>
      </c>
      <c r="AM501" s="84">
        <v>0</v>
      </c>
      <c r="AN501" s="92" t="s">
        <v>1724</v>
      </c>
      <c r="AO501" s="84" t="s">
        <v>1763</v>
      </c>
      <c r="AP501" s="84" t="b">
        <v>0</v>
      </c>
      <c r="AQ501" s="92" t="s">
        <v>1284</v>
      </c>
      <c r="AR501" s="84" t="s">
        <v>179</v>
      </c>
      <c r="AS501" s="84">
        <v>0</v>
      </c>
      <c r="AT501" s="84">
        <v>0</v>
      </c>
      <c r="AU501" s="84"/>
      <c r="AV501" s="84"/>
      <c r="AW501" s="84"/>
      <c r="AX501" s="84"/>
      <c r="AY501" s="84"/>
      <c r="AZ501" s="84"/>
      <c r="BA501" s="84"/>
      <c r="BB501" s="84"/>
    </row>
    <row r="502" spans="1:54" x14ac:dyDescent="0.2">
      <c r="A502" s="69" t="s">
        <v>219</v>
      </c>
      <c r="B502" s="69" t="s">
        <v>219</v>
      </c>
      <c r="C502" s="70"/>
      <c r="D502" s="71"/>
      <c r="E502" s="72"/>
      <c r="F502" s="73"/>
      <c r="G502" s="70"/>
      <c r="H502" s="74"/>
      <c r="I502" s="75"/>
      <c r="J502" s="75"/>
      <c r="K502" s="36"/>
      <c r="L502" s="82"/>
      <c r="M502" s="82"/>
      <c r="N502" s="77"/>
      <c r="O502" s="84" t="s">
        <v>179</v>
      </c>
      <c r="P502" s="86">
        <v>44016.032060185185</v>
      </c>
      <c r="Q502" s="84" t="s">
        <v>506</v>
      </c>
      <c r="R502" s="84"/>
      <c r="S502" s="84"/>
      <c r="T502" s="84" t="s">
        <v>780</v>
      </c>
      <c r="U502" s="84"/>
      <c r="V502" s="87" t="str">
        <f>HYPERLINK("http://pbs.twimg.com/profile_images/1268119624622604289/_WzqtViR_normal.jpg")</f>
        <v>http://pbs.twimg.com/profile_images/1268119624622604289/_WzqtViR_normal.jpg</v>
      </c>
      <c r="W502" s="86">
        <v>44016.032060185185</v>
      </c>
      <c r="X502" s="90">
        <v>44016</v>
      </c>
      <c r="Y502" s="92" t="s">
        <v>864</v>
      </c>
      <c r="Z502" s="87" t="str">
        <f>HYPERLINK("https://twitter.com/nyaoooosan/status/1279214888435380226")</f>
        <v>https://twitter.com/nyaoooosan/status/1279214888435380226</v>
      </c>
      <c r="AA502" s="84"/>
      <c r="AB502" s="84"/>
      <c r="AC502" s="92" t="s">
        <v>1283</v>
      </c>
      <c r="AD502" s="84"/>
      <c r="AE502" s="84" t="b">
        <v>0</v>
      </c>
      <c r="AF502" s="84">
        <v>0</v>
      </c>
      <c r="AG502" s="92" t="s">
        <v>1724</v>
      </c>
      <c r="AH502" s="84" t="b">
        <v>0</v>
      </c>
      <c r="AI502" s="84" t="s">
        <v>1750</v>
      </c>
      <c r="AJ502" s="84"/>
      <c r="AK502" s="92" t="s">
        <v>1724</v>
      </c>
      <c r="AL502" s="84" t="b">
        <v>0</v>
      </c>
      <c r="AM502" s="84">
        <v>0</v>
      </c>
      <c r="AN502" s="92" t="s">
        <v>1724</v>
      </c>
      <c r="AO502" s="84" t="s">
        <v>1764</v>
      </c>
      <c r="AP502" s="84" t="b">
        <v>0</v>
      </c>
      <c r="AQ502" s="92" t="s">
        <v>1283</v>
      </c>
      <c r="AR502" s="84" t="s">
        <v>179</v>
      </c>
      <c r="AS502" s="84">
        <v>0</v>
      </c>
      <c r="AT502" s="84">
        <v>0</v>
      </c>
      <c r="AU502" s="84"/>
      <c r="AV502" s="84"/>
      <c r="AW502" s="84"/>
      <c r="AX502" s="84"/>
      <c r="AY502" s="84"/>
      <c r="AZ502" s="84"/>
      <c r="BA502" s="84"/>
      <c r="BB502" s="84"/>
    </row>
    <row r="503" spans="1:54" x14ac:dyDescent="0.2">
      <c r="A503" s="69" t="s">
        <v>436</v>
      </c>
      <c r="B503" s="69" t="s">
        <v>436</v>
      </c>
      <c r="C503" s="70"/>
      <c r="D503" s="71"/>
      <c r="E503" s="72"/>
      <c r="F503" s="73"/>
      <c r="G503" s="70"/>
      <c r="H503" s="74"/>
      <c r="I503" s="75"/>
      <c r="J503" s="75"/>
      <c r="K503" s="36"/>
      <c r="L503" s="82"/>
      <c r="M503" s="82"/>
      <c r="N503" s="77"/>
      <c r="O503" s="84" t="s">
        <v>179</v>
      </c>
      <c r="P503" s="86">
        <v>44015.974699074075</v>
      </c>
      <c r="Q503" s="84" t="s">
        <v>733</v>
      </c>
      <c r="R503" s="84"/>
      <c r="S503" s="84"/>
      <c r="T503" s="84" t="s">
        <v>781</v>
      </c>
      <c r="U503" s="84"/>
      <c r="V503" s="87" t="str">
        <f>HYPERLINK("http://pbs.twimg.com/profile_images/1138281193714044929/gYfMYMEB_normal.jpg")</f>
        <v>http://pbs.twimg.com/profile_images/1138281193714044929/gYfMYMEB_normal.jpg</v>
      </c>
      <c r="W503" s="86">
        <v>44015.974699074075</v>
      </c>
      <c r="X503" s="90">
        <v>44015</v>
      </c>
      <c r="Y503" s="92" t="s">
        <v>1226</v>
      </c>
      <c r="Z503" s="87" t="str">
        <f>HYPERLINK("https://twitter.com/waiwai5321/status/1279194102525984775")</f>
        <v>https://twitter.com/waiwai5321/status/1279194102525984775</v>
      </c>
      <c r="AA503" s="84"/>
      <c r="AB503" s="84"/>
      <c r="AC503" s="92" t="s">
        <v>1647</v>
      </c>
      <c r="AD503" s="84"/>
      <c r="AE503" s="84" t="b">
        <v>0</v>
      </c>
      <c r="AF503" s="84">
        <v>2</v>
      </c>
      <c r="AG503" s="92" t="s">
        <v>1724</v>
      </c>
      <c r="AH503" s="84" t="b">
        <v>0</v>
      </c>
      <c r="AI503" s="84" t="s">
        <v>1750</v>
      </c>
      <c r="AJ503" s="84"/>
      <c r="AK503" s="92" t="s">
        <v>1724</v>
      </c>
      <c r="AL503" s="84" t="b">
        <v>0</v>
      </c>
      <c r="AM503" s="84">
        <v>0</v>
      </c>
      <c r="AN503" s="92" t="s">
        <v>1724</v>
      </c>
      <c r="AO503" s="84" t="s">
        <v>1763</v>
      </c>
      <c r="AP503" s="84" t="b">
        <v>0</v>
      </c>
      <c r="AQ503" s="92" t="s">
        <v>1647</v>
      </c>
      <c r="AR503" s="84" t="s">
        <v>179</v>
      </c>
      <c r="AS503" s="84">
        <v>0</v>
      </c>
      <c r="AT503" s="84">
        <v>0</v>
      </c>
      <c r="AU503" s="84"/>
      <c r="AV503" s="84"/>
      <c r="AW503" s="84"/>
      <c r="AX503" s="84"/>
      <c r="AY503" s="84"/>
      <c r="AZ503" s="84"/>
      <c r="BA503" s="84"/>
      <c r="BB503" s="84"/>
    </row>
    <row r="504" spans="1:54" x14ac:dyDescent="0.2">
      <c r="A504" s="69" t="s">
        <v>409</v>
      </c>
      <c r="B504" s="69" t="s">
        <v>409</v>
      </c>
      <c r="C504" s="70"/>
      <c r="D504" s="71"/>
      <c r="E504" s="72"/>
      <c r="F504" s="73"/>
      <c r="G504" s="70"/>
      <c r="H504" s="74"/>
      <c r="I504" s="75"/>
      <c r="J504" s="75"/>
      <c r="K504" s="36"/>
      <c r="L504" s="82"/>
      <c r="M504" s="82"/>
      <c r="N504" s="77"/>
      <c r="O504" s="84" t="s">
        <v>179</v>
      </c>
      <c r="P504" s="86">
        <v>44015.958599537036</v>
      </c>
      <c r="Q504" s="84" t="s">
        <v>658</v>
      </c>
      <c r="R504" s="84"/>
      <c r="S504" s="84"/>
      <c r="T504" s="84" t="s">
        <v>781</v>
      </c>
      <c r="U504" s="84"/>
      <c r="V504" s="87" t="str">
        <f>HYPERLINK("http://pbs.twimg.com/profile_images/1236668333157519361/R8t7DbMO_normal.jpg")</f>
        <v>http://pbs.twimg.com/profile_images/1236668333157519361/R8t7DbMO_normal.jpg</v>
      </c>
      <c r="W504" s="86">
        <v>44015.958599537036</v>
      </c>
      <c r="X504" s="90">
        <v>44015</v>
      </c>
      <c r="Y504" s="92" t="s">
        <v>1158</v>
      </c>
      <c r="Z504" s="87" t="str">
        <f>HYPERLINK("https://twitter.com/sinxsan/status/1279188266516992005")</f>
        <v>https://twitter.com/sinxsan/status/1279188266516992005</v>
      </c>
      <c r="AA504" s="84"/>
      <c r="AB504" s="84"/>
      <c r="AC504" s="92" t="s">
        <v>1579</v>
      </c>
      <c r="AD504" s="92" t="s">
        <v>1714</v>
      </c>
      <c r="AE504" s="84" t="b">
        <v>0</v>
      </c>
      <c r="AF504" s="84">
        <v>3</v>
      </c>
      <c r="AG504" s="92" t="s">
        <v>1740</v>
      </c>
      <c r="AH504" s="84" t="b">
        <v>0</v>
      </c>
      <c r="AI504" s="84" t="s">
        <v>1750</v>
      </c>
      <c r="AJ504" s="84"/>
      <c r="AK504" s="92" t="s">
        <v>1724</v>
      </c>
      <c r="AL504" s="84" t="b">
        <v>0</v>
      </c>
      <c r="AM504" s="84">
        <v>1</v>
      </c>
      <c r="AN504" s="92" t="s">
        <v>1724</v>
      </c>
      <c r="AO504" s="84" t="s">
        <v>1763</v>
      </c>
      <c r="AP504" s="84" t="b">
        <v>0</v>
      </c>
      <c r="AQ504" s="92" t="s">
        <v>1714</v>
      </c>
      <c r="AR504" s="84" t="s">
        <v>179</v>
      </c>
      <c r="AS504" s="84">
        <v>0</v>
      </c>
      <c r="AT504" s="84">
        <v>0</v>
      </c>
      <c r="AU504" s="84"/>
      <c r="AV504" s="84"/>
      <c r="AW504" s="84"/>
      <c r="AX504" s="84"/>
      <c r="AY504" s="84"/>
      <c r="AZ504" s="84"/>
      <c r="BA504" s="84"/>
      <c r="BB504" s="84"/>
    </row>
    <row r="505" spans="1:54" x14ac:dyDescent="0.2">
      <c r="A505" s="69" t="s">
        <v>400</v>
      </c>
      <c r="B505" s="69" t="s">
        <v>400</v>
      </c>
      <c r="C505" s="70"/>
      <c r="D505" s="71"/>
      <c r="E505" s="72"/>
      <c r="F505" s="73"/>
      <c r="G505" s="70"/>
      <c r="H505" s="74"/>
      <c r="I505" s="75"/>
      <c r="J505" s="75"/>
      <c r="K505" s="36"/>
      <c r="L505" s="82"/>
      <c r="M505" s="82"/>
      <c r="N505" s="77"/>
      <c r="O505" s="84" t="s">
        <v>179</v>
      </c>
      <c r="P505" s="86">
        <v>44015.854201388887</v>
      </c>
      <c r="Q505" s="84" t="s">
        <v>586</v>
      </c>
      <c r="R505" s="87" t="str">
        <f>HYPERLINK("https://m.facebook.com/anunknownkraftsman")</f>
        <v>https://m.facebook.com/anunknownkraftsman</v>
      </c>
      <c r="S505" s="84" t="s">
        <v>772</v>
      </c>
      <c r="T505" s="84" t="s">
        <v>842</v>
      </c>
      <c r="U505" s="84"/>
      <c r="V505" s="87" t="str">
        <f>HYPERLINK("http://pbs.twimg.com/profile_images/1142556013167632391/vMubfzN-_normal.jpg")</f>
        <v>http://pbs.twimg.com/profile_images/1142556013167632391/vMubfzN-_normal.jpg</v>
      </c>
      <c r="W505" s="86">
        <v>44015.854201388887</v>
      </c>
      <c r="X505" s="90">
        <v>44015</v>
      </c>
      <c r="Y505" s="92" t="s">
        <v>1126</v>
      </c>
      <c r="Z505" s="87" t="str">
        <f>HYPERLINK("https://twitter.com/hc_mmoor1868/status/1279150431567036419")</f>
        <v>https://twitter.com/hc_mmoor1868/status/1279150431567036419</v>
      </c>
      <c r="AA505" s="84"/>
      <c r="AB505" s="84"/>
      <c r="AC505" s="92" t="s">
        <v>1545</v>
      </c>
      <c r="AD505" s="84"/>
      <c r="AE505" s="84" t="b">
        <v>0</v>
      </c>
      <c r="AF505" s="84">
        <v>0</v>
      </c>
      <c r="AG505" s="92" t="s">
        <v>1724</v>
      </c>
      <c r="AH505" s="84" t="b">
        <v>0</v>
      </c>
      <c r="AI505" s="84" t="s">
        <v>1751</v>
      </c>
      <c r="AJ505" s="84"/>
      <c r="AK505" s="92" t="s">
        <v>1724</v>
      </c>
      <c r="AL505" s="84" t="b">
        <v>0</v>
      </c>
      <c r="AM505" s="84">
        <v>0</v>
      </c>
      <c r="AN505" s="92" t="s">
        <v>1724</v>
      </c>
      <c r="AO505" s="84" t="s">
        <v>1783</v>
      </c>
      <c r="AP505" s="84" t="b">
        <v>0</v>
      </c>
      <c r="AQ505" s="92" t="s">
        <v>1545</v>
      </c>
      <c r="AR505" s="84" t="s">
        <v>179</v>
      </c>
      <c r="AS505" s="84">
        <v>0</v>
      </c>
      <c r="AT505" s="84">
        <v>0</v>
      </c>
      <c r="AU505" s="84"/>
      <c r="AV505" s="84"/>
      <c r="AW505" s="84"/>
      <c r="AX505" s="84"/>
      <c r="AY505" s="84"/>
      <c r="AZ505" s="84"/>
      <c r="BA505" s="84"/>
      <c r="BB505" s="84"/>
    </row>
    <row r="506" spans="1:54" x14ac:dyDescent="0.2">
      <c r="A506" s="69" t="s">
        <v>218</v>
      </c>
      <c r="B506" s="69" t="s">
        <v>218</v>
      </c>
      <c r="C506" s="70"/>
      <c r="D506" s="71"/>
      <c r="E506" s="72"/>
      <c r="F506" s="73"/>
      <c r="G506" s="70"/>
      <c r="H506" s="74"/>
      <c r="I506" s="75"/>
      <c r="J506" s="75"/>
      <c r="K506" s="36"/>
      <c r="L506" s="82"/>
      <c r="M506" s="82"/>
      <c r="N506" s="77"/>
      <c r="O506" s="84" t="s">
        <v>179</v>
      </c>
      <c r="P506" s="86">
        <v>44015.714236111111</v>
      </c>
      <c r="Q506" s="84" t="s">
        <v>505</v>
      </c>
      <c r="R506" s="84"/>
      <c r="S506" s="84"/>
      <c r="T506" s="84" t="s">
        <v>779</v>
      </c>
      <c r="U506" s="87" t="str">
        <f>HYPERLINK("https://pbs.twimg.com/media/EcBGaFOVAAA8lEn.jpg")</f>
        <v>https://pbs.twimg.com/media/EcBGaFOVAAA8lEn.jpg</v>
      </c>
      <c r="V506" s="87" t="str">
        <f>HYPERLINK("https://pbs.twimg.com/media/EcBGaFOVAAA8lEn.jpg")</f>
        <v>https://pbs.twimg.com/media/EcBGaFOVAAA8lEn.jpg</v>
      </c>
      <c r="W506" s="86">
        <v>44015.714236111111</v>
      </c>
      <c r="X506" s="90">
        <v>44015</v>
      </c>
      <c r="Y506" s="92" t="s">
        <v>863</v>
      </c>
      <c r="Z506" s="87" t="str">
        <f>HYPERLINK("https://twitter.com/melanchoric4149/status/1279099711643717635")</f>
        <v>https://twitter.com/melanchoric4149/status/1279099711643717635</v>
      </c>
      <c r="AA506" s="84"/>
      <c r="AB506" s="84"/>
      <c r="AC506" s="92" t="s">
        <v>1282</v>
      </c>
      <c r="AD506" s="84"/>
      <c r="AE506" s="84" t="b">
        <v>0</v>
      </c>
      <c r="AF506" s="84">
        <v>0</v>
      </c>
      <c r="AG506" s="92" t="s">
        <v>1724</v>
      </c>
      <c r="AH506" s="84" t="b">
        <v>0</v>
      </c>
      <c r="AI506" s="84" t="s">
        <v>1750</v>
      </c>
      <c r="AJ506" s="84"/>
      <c r="AK506" s="92" t="s">
        <v>1724</v>
      </c>
      <c r="AL506" s="84" t="b">
        <v>0</v>
      </c>
      <c r="AM506" s="84">
        <v>0</v>
      </c>
      <c r="AN506" s="92" t="s">
        <v>1724</v>
      </c>
      <c r="AO506" s="84" t="s">
        <v>1763</v>
      </c>
      <c r="AP506" s="84" t="b">
        <v>0</v>
      </c>
      <c r="AQ506" s="92" t="s">
        <v>1282</v>
      </c>
      <c r="AR506" s="84" t="s">
        <v>179</v>
      </c>
      <c r="AS506" s="84">
        <v>0</v>
      </c>
      <c r="AT506" s="84">
        <v>0</v>
      </c>
      <c r="AU506" s="84"/>
      <c r="AV506" s="84"/>
      <c r="AW506" s="84"/>
      <c r="AX506" s="84"/>
      <c r="AY506" s="84"/>
      <c r="AZ506" s="84"/>
      <c r="BA506" s="84"/>
      <c r="BB506" s="84"/>
    </row>
    <row r="507" spans="1:54" x14ac:dyDescent="0.2">
      <c r="A507" s="69" t="s">
        <v>217</v>
      </c>
      <c r="B507" s="69" t="s">
        <v>217</v>
      </c>
      <c r="C507" s="70"/>
      <c r="D507" s="71"/>
      <c r="E507" s="72"/>
      <c r="F507" s="73"/>
      <c r="G507" s="70"/>
      <c r="H507" s="74"/>
      <c r="I507" s="75"/>
      <c r="J507" s="75"/>
      <c r="K507" s="36"/>
      <c r="L507" s="82"/>
      <c r="M507" s="82"/>
      <c r="N507" s="77"/>
      <c r="O507" s="84" t="s">
        <v>179</v>
      </c>
      <c r="P507" s="86">
        <v>44015.675833333335</v>
      </c>
      <c r="Q507" s="84" t="s">
        <v>504</v>
      </c>
      <c r="R507" s="87" t="str">
        <f>HYPERLINK("https://twitter.com/Alex_Ramone77/status/1279078457222275072")</f>
        <v>https://twitter.com/Alex_Ramone77/status/1279078457222275072</v>
      </c>
      <c r="S507" s="84" t="s">
        <v>755</v>
      </c>
      <c r="T507" s="84" t="s">
        <v>778</v>
      </c>
      <c r="U507" s="84"/>
      <c r="V507" s="87" t="str">
        <f>HYPERLINK("http://pbs.twimg.com/profile_images/1202685128914419714/3PZbLKSV_normal.jpg")</f>
        <v>http://pbs.twimg.com/profile_images/1202685128914419714/3PZbLKSV_normal.jpg</v>
      </c>
      <c r="W507" s="86">
        <v>44015.675833333335</v>
      </c>
      <c r="X507" s="90">
        <v>44015</v>
      </c>
      <c r="Y507" s="92" t="s">
        <v>862</v>
      </c>
      <c r="Z507" s="87" t="str">
        <f>HYPERLINK("https://twitter.com/wayfarerperolas/status/1279085795996024834")</f>
        <v>https://twitter.com/wayfarerperolas/status/1279085795996024834</v>
      </c>
      <c r="AA507" s="84"/>
      <c r="AB507" s="84"/>
      <c r="AC507" s="92" t="s">
        <v>1281</v>
      </c>
      <c r="AD507" s="84"/>
      <c r="AE507" s="84" t="b">
        <v>0</v>
      </c>
      <c r="AF507" s="84">
        <v>13</v>
      </c>
      <c r="AG507" s="92" t="s">
        <v>1724</v>
      </c>
      <c r="AH507" s="84" t="b">
        <v>1</v>
      </c>
      <c r="AI507" s="84" t="s">
        <v>1749</v>
      </c>
      <c r="AJ507" s="84"/>
      <c r="AK507" s="92" t="s">
        <v>1757</v>
      </c>
      <c r="AL507" s="84" t="b">
        <v>0</v>
      </c>
      <c r="AM507" s="84">
        <v>0</v>
      </c>
      <c r="AN507" s="92" t="s">
        <v>1724</v>
      </c>
      <c r="AO507" s="84" t="s">
        <v>1763</v>
      </c>
      <c r="AP507" s="84" t="b">
        <v>0</v>
      </c>
      <c r="AQ507" s="92" t="s">
        <v>1281</v>
      </c>
      <c r="AR507" s="84" t="s">
        <v>179</v>
      </c>
      <c r="AS507" s="84">
        <v>0</v>
      </c>
      <c r="AT507" s="84">
        <v>0</v>
      </c>
      <c r="AU507" s="84"/>
      <c r="AV507" s="84"/>
      <c r="AW507" s="84"/>
      <c r="AX507" s="84"/>
      <c r="AY507" s="84"/>
      <c r="AZ507" s="84"/>
      <c r="BA507" s="84"/>
      <c r="BB507" s="84"/>
    </row>
    <row r="508" spans="1:54" x14ac:dyDescent="0.2">
      <c r="A508" s="69" t="s">
        <v>463</v>
      </c>
      <c r="B508" s="69" t="s">
        <v>463</v>
      </c>
      <c r="C508" s="70"/>
      <c r="D508" s="71"/>
      <c r="E508" s="72"/>
      <c r="F508" s="73"/>
      <c r="G508" s="70"/>
      <c r="H508" s="74"/>
      <c r="I508" s="75"/>
      <c r="J508" s="75"/>
      <c r="K508" s="36"/>
      <c r="L508" s="76"/>
      <c r="M508" s="76"/>
      <c r="N508" s="77"/>
      <c r="O508" s="83" t="s">
        <v>179</v>
      </c>
      <c r="P508" s="85">
        <v>44015.66138888889</v>
      </c>
      <c r="Q508" s="83" t="s">
        <v>753</v>
      </c>
      <c r="R508" s="83"/>
      <c r="S508" s="83"/>
      <c r="T508" s="83" t="s">
        <v>780</v>
      </c>
      <c r="U508" s="88" t="str">
        <f>HYPERLINK("https://pbs.twimg.com/media/EcA0_SoUEAAsI2Z.jpg")</f>
        <v>https://pbs.twimg.com/media/EcA0_SoUEAAsI2Z.jpg</v>
      </c>
      <c r="V508" s="88" t="str">
        <f>HYPERLINK("https://pbs.twimg.com/media/EcA0_SoUEAAsI2Z.jpg")</f>
        <v>https://pbs.twimg.com/media/EcA0_SoUEAAsI2Z.jpg</v>
      </c>
      <c r="W508" s="85">
        <v>44015.66138888889</v>
      </c>
      <c r="X508" s="89">
        <v>44015</v>
      </c>
      <c r="Y508" s="91" t="s">
        <v>1280</v>
      </c>
      <c r="Z508" s="88" t="str">
        <f>HYPERLINK("https://twitter.com/makoto_8810/status/1279080561533833216")</f>
        <v>https://twitter.com/makoto_8810/status/1279080561533833216</v>
      </c>
      <c r="AA508" s="83"/>
      <c r="AB508" s="83"/>
      <c r="AC508" s="91" t="s">
        <v>1703</v>
      </c>
      <c r="AD508" s="83"/>
      <c r="AE508" s="83" t="b">
        <v>0</v>
      </c>
      <c r="AF508" s="83">
        <v>3</v>
      </c>
      <c r="AG508" s="91" t="s">
        <v>1724</v>
      </c>
      <c r="AH508" s="83" t="b">
        <v>0</v>
      </c>
      <c r="AI508" s="83" t="s">
        <v>1750</v>
      </c>
      <c r="AJ508" s="83"/>
      <c r="AK508" s="91" t="s">
        <v>1724</v>
      </c>
      <c r="AL508" s="83" t="b">
        <v>0</v>
      </c>
      <c r="AM508" s="83">
        <v>0</v>
      </c>
      <c r="AN508" s="91" t="s">
        <v>1724</v>
      </c>
      <c r="AO508" s="83" t="s">
        <v>1764</v>
      </c>
      <c r="AP508" s="83" t="b">
        <v>0</v>
      </c>
      <c r="AQ508" s="91" t="s">
        <v>1703</v>
      </c>
      <c r="AR508" s="83" t="s">
        <v>179</v>
      </c>
      <c r="AS508" s="83">
        <v>0</v>
      </c>
      <c r="AT508" s="83">
        <v>0</v>
      </c>
      <c r="AU508" s="83"/>
      <c r="AV508" s="83"/>
      <c r="AW508" s="83"/>
      <c r="AX508" s="83"/>
      <c r="AY508" s="83"/>
      <c r="AZ508" s="83"/>
      <c r="BA508" s="83"/>
      <c r="BB508" s="83"/>
    </row>
    <row r="509" spans="1:54" x14ac:dyDescent="0.2">
      <c r="A509" s="69" t="s">
        <v>319</v>
      </c>
      <c r="B509" s="69" t="s">
        <v>319</v>
      </c>
      <c r="C509" s="70"/>
      <c r="D509" s="71"/>
      <c r="E509" s="72"/>
      <c r="F509" s="73"/>
      <c r="G509" s="70"/>
      <c r="H509" s="74"/>
      <c r="I509" s="75"/>
      <c r="J509" s="75"/>
      <c r="K509" s="36"/>
      <c r="L509" s="82"/>
      <c r="M509" s="82"/>
      <c r="N509" s="77"/>
      <c r="O509" s="84" t="s">
        <v>179</v>
      </c>
      <c r="P509" s="86">
        <v>44007.142824074072</v>
      </c>
      <c r="Q509" s="84" t="s">
        <v>593</v>
      </c>
      <c r="R509" s="87" t="str">
        <f>HYPERLINK("https://ingress.lycaeum.net/2020/06/20200623-0940.html")</f>
        <v>https://ingress.lycaeum.net/2020/06/20200623-0940.html</v>
      </c>
      <c r="S509" s="84" t="s">
        <v>761</v>
      </c>
      <c r="T509" s="84" t="s">
        <v>781</v>
      </c>
      <c r="U509" s="84"/>
      <c r="V509" s="87" t="str">
        <f>HYPERLINK("http://pbs.twimg.com/profile_images/1234029170780299264/4wlxNbMl_normal.jpg")</f>
        <v>http://pbs.twimg.com/profile_images/1234029170780299264/4wlxNbMl_normal.jpg</v>
      </c>
      <c r="W509" s="86">
        <v>44007.142824074072</v>
      </c>
      <c r="X509" s="90">
        <v>44007</v>
      </c>
      <c r="Y509" s="92" t="s">
        <v>1005</v>
      </c>
      <c r="Z509" s="87" t="str">
        <f>HYPERLINK("https://twitter.com/jte3j/status/1275993535448182784")</f>
        <v>https://twitter.com/jte3j/status/1275993535448182784</v>
      </c>
      <c r="AA509" s="84"/>
      <c r="AB509" s="84"/>
      <c r="AC509" s="92" t="s">
        <v>1424</v>
      </c>
      <c r="AD509" s="84"/>
      <c r="AE509" s="84" t="b">
        <v>0</v>
      </c>
      <c r="AF509" s="84">
        <v>17</v>
      </c>
      <c r="AG509" s="92" t="s">
        <v>1724</v>
      </c>
      <c r="AH509" s="84" t="b">
        <v>0</v>
      </c>
      <c r="AI509" s="84" t="s">
        <v>1750</v>
      </c>
      <c r="AJ509" s="84"/>
      <c r="AK509" s="92" t="s">
        <v>1724</v>
      </c>
      <c r="AL509" s="84" t="b">
        <v>0</v>
      </c>
      <c r="AM509" s="84">
        <v>2</v>
      </c>
      <c r="AN509" s="92" t="s">
        <v>1724</v>
      </c>
      <c r="AO509" s="84" t="s">
        <v>1763</v>
      </c>
      <c r="AP509" s="84" t="b">
        <v>0</v>
      </c>
      <c r="AQ509" s="92" t="s">
        <v>1424</v>
      </c>
      <c r="AR509" s="84" t="s">
        <v>500</v>
      </c>
      <c r="AS509" s="84">
        <v>0</v>
      </c>
      <c r="AT509" s="84">
        <v>0</v>
      </c>
      <c r="AU509" s="84"/>
      <c r="AV509" s="84"/>
      <c r="AW509" s="84"/>
      <c r="AX509" s="84"/>
      <c r="AY509" s="84"/>
      <c r="AZ509" s="84"/>
      <c r="BA509" s="84"/>
      <c r="BB509" s="84"/>
    </row>
    <row r="510" spans="1:54" x14ac:dyDescent="0.2">
      <c r="A510" s="69" t="s">
        <v>255</v>
      </c>
      <c r="B510" s="69" t="s">
        <v>255</v>
      </c>
      <c r="C510" s="70"/>
      <c r="D510" s="71"/>
      <c r="E510" s="72"/>
      <c r="F510" s="73"/>
      <c r="G510" s="70"/>
      <c r="H510" s="74"/>
      <c r="I510" s="75"/>
      <c r="J510" s="75"/>
      <c r="K510" s="36"/>
      <c r="L510" s="82"/>
      <c r="M510" s="82"/>
      <c r="N510" s="77"/>
      <c r="O510" s="84" t="s">
        <v>179</v>
      </c>
      <c r="P510" s="86">
        <v>44000.194282407407</v>
      </c>
      <c r="Q510" s="84" t="s">
        <v>543</v>
      </c>
      <c r="R510" s="87" t="str">
        <f>HYPERLINK("https://www.etsy.com/ca/LyndiLane/listing/278030284/bolle-sunglasses-red-sunglasses-retro?utm_campaign=Share&amp;utm_medium=social_organic&amp;utm_source=MSMT&amp;utm_term=so.smt&amp;share_time=1592455128000")</f>
        <v>https://www.etsy.com/ca/LyndiLane/listing/278030284/bolle-sunglasses-red-sunglasses-retro?utm_campaign=Share&amp;utm_medium=social_organic&amp;utm_source=MSMT&amp;utm_term=so.smt&amp;share_time=1592455128000</v>
      </c>
      <c r="S510" s="84" t="s">
        <v>763</v>
      </c>
      <c r="T510" s="84" t="s">
        <v>797</v>
      </c>
      <c r="U510" s="87" t="str">
        <f>HYPERLINK("https://pbs.twimg.com/media/EaxLL1OXYAAnkXl.jpg")</f>
        <v>https://pbs.twimg.com/media/EaxLL1OXYAAnkXl.jpg</v>
      </c>
      <c r="V510" s="87" t="str">
        <f>HYPERLINK("https://pbs.twimg.com/media/EaxLL1OXYAAnkXl.jpg")</f>
        <v>https://pbs.twimg.com/media/EaxLL1OXYAAnkXl.jpg</v>
      </c>
      <c r="W510" s="86">
        <v>44000.194282407407</v>
      </c>
      <c r="X510" s="90">
        <v>44000</v>
      </c>
      <c r="Y510" s="92" t="s">
        <v>910</v>
      </c>
      <c r="Z510" s="87" t="str">
        <f>HYPERLINK("https://twitter.com/lyndilane/status/1273475467572654080")</f>
        <v>https://twitter.com/lyndilane/status/1273475467572654080</v>
      </c>
      <c r="AA510" s="84"/>
      <c r="AB510" s="84"/>
      <c r="AC510" s="92" t="s">
        <v>1329</v>
      </c>
      <c r="AD510" s="84"/>
      <c r="AE510" s="84" t="b">
        <v>0</v>
      </c>
      <c r="AF510" s="84">
        <v>1</v>
      </c>
      <c r="AG510" s="92" t="s">
        <v>1724</v>
      </c>
      <c r="AH510" s="84" t="b">
        <v>0</v>
      </c>
      <c r="AI510" s="84" t="s">
        <v>1753</v>
      </c>
      <c r="AJ510" s="84"/>
      <c r="AK510" s="92" t="s">
        <v>1724</v>
      </c>
      <c r="AL510" s="84" t="b">
        <v>0</v>
      </c>
      <c r="AM510" s="84">
        <v>2</v>
      </c>
      <c r="AN510" s="92" t="s">
        <v>1724</v>
      </c>
      <c r="AO510" s="84" t="s">
        <v>1763</v>
      </c>
      <c r="AP510" s="84" t="b">
        <v>0</v>
      </c>
      <c r="AQ510" s="92" t="s">
        <v>1329</v>
      </c>
      <c r="AR510" s="84" t="s">
        <v>500</v>
      </c>
      <c r="AS510" s="84">
        <v>0</v>
      </c>
      <c r="AT510" s="84">
        <v>0</v>
      </c>
      <c r="AU510" s="84"/>
      <c r="AV510" s="84"/>
      <c r="AW510" s="84"/>
      <c r="AX510" s="84"/>
      <c r="AY510" s="84"/>
      <c r="AZ510" s="84"/>
      <c r="BA510" s="84"/>
      <c r="BB510" s="84"/>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510"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510" xr:uid="{00000000-0002-0000-0000-000001000000}"/>
    <dataValidation allowBlank="1" showErrorMessage="1" sqref="N2:N510"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510"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510" xr:uid="{00000000-0002-0000-0000-000004000000}"/>
    <dataValidation allowBlank="1" showInputMessage="1" promptTitle="Edge Color" prompt="To select an optional edge color, right-click and select Select Color on the right-click menu." sqref="C3:C510" xr:uid="{00000000-0002-0000-0000-000005000000}"/>
    <dataValidation allowBlank="1" showInputMessage="1" errorTitle="Invalid Edge Width" error="The optional edge width must be a whole number between 1 and 10." promptTitle="Edge Width" prompt="Enter an optional edge width between 1 and 10." sqref="D3:D510"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510"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510" xr:uid="{00000000-0002-0000-0000-000008000000}">
      <formula1>ValidEdgeVisibilities</formula1>
    </dataValidation>
    <dataValidation allowBlank="1" showInputMessage="1" showErrorMessage="1" promptTitle="Vertex 1 Name" prompt="Enter the name of the edge's first vertex." sqref="A3:A510" xr:uid="{00000000-0002-0000-0000-000009000000}"/>
    <dataValidation allowBlank="1" showInputMessage="1" showErrorMessage="1" promptTitle="Vertex 2 Name" prompt="Enter the name of the edge's second vertex." sqref="B3:B510" xr:uid="{00000000-0002-0000-0000-00000A000000}"/>
    <dataValidation allowBlank="1" showInputMessage="1" showErrorMessage="1" errorTitle="Invalid Edge Visibility" error="You have entered an unrecognized edge visibility.  Try selecting from the drop-down list instead." promptTitle="Edge Label" prompt="Enter an optional edge label." sqref="H3:H510"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510"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510" xr:uid="{00000000-0002-0000-0000-00000D000000}"/>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E285"/>
  <sheetViews>
    <sheetView workbookViewId="0">
      <pane xSplit="1" ySplit="2" topLeftCell="B3" activePane="bottomRight" state="frozen"/>
      <selection pane="topRight" activeCell="B1" sqref="B1"/>
      <selection pane="bottomLeft" activeCell="A3" sqref="A3"/>
      <selection pane="bottomRight" activeCell="A3" sqref="A3"/>
    </sheetView>
  </sheetViews>
  <sheetFormatPr baseColWidth="10" defaultColWidth="8.83203125" defaultRowHeight="15" x14ac:dyDescent="0.2"/>
  <cols>
    <col min="1" max="1" width="9.1640625" style="1"/>
    <col min="2" max="2" width="7.83203125" customWidth="1"/>
    <col min="3" max="3" width="8.5" customWidth="1"/>
    <col min="4" max="4" width="6.6640625" customWidth="1"/>
    <col min="5" max="5" width="9.83203125" customWidth="1"/>
    <col min="6" max="6" width="7.6640625" customWidth="1"/>
    <col min="7" max="7" width="11" customWidth="1"/>
    <col min="8" max="8" width="8.5" customWidth="1"/>
    <col min="9" max="9" width="9.6640625" customWidth="1"/>
    <col min="10" max="10" width="10.5" style="3" customWidth="1"/>
    <col min="11" max="11" width="9.1640625" customWidth="1"/>
    <col min="12" max="12" width="9.1640625" hidden="1" customWidth="1"/>
    <col min="13" max="14" width="4.33203125" hidden="1" customWidth="1"/>
    <col min="15" max="15" width="10.33203125" hidden="1" customWidth="1"/>
    <col min="16" max="16" width="6.5" hidden="1" customWidth="1"/>
    <col min="17" max="17" width="8.33203125" hidden="1" customWidth="1"/>
    <col min="18" max="18" width="9.5" hidden="1" customWidth="1"/>
    <col min="19" max="19" width="9.33203125" hidden="1" customWidth="1"/>
    <col min="20" max="20" width="9.5" hidden="1" customWidth="1"/>
    <col min="21" max="23" width="14.33203125" hidden="1" customWidth="1"/>
    <col min="24" max="24" width="11.83203125" hidden="1" customWidth="1"/>
    <col min="25" max="25" width="14.5" hidden="1" customWidth="1"/>
    <col min="26" max="26" width="18.33203125" hidden="1" customWidth="1"/>
    <col min="27" max="27" width="5" style="3" hidden="1" customWidth="1"/>
    <col min="28" max="28" width="16" style="3" hidden="1" customWidth="1"/>
    <col min="29" max="29" width="16" style="6" bestFit="1" customWidth="1"/>
    <col min="30" max="30" width="8.5" style="2" bestFit="1" customWidth="1"/>
    <col min="31" max="31" width="9.5" style="3" bestFit="1" customWidth="1"/>
    <col min="32" max="32" width="11.5" style="3" bestFit="1" customWidth="1"/>
    <col min="33" max="33" width="12" style="3" bestFit="1" customWidth="1"/>
    <col min="34" max="34" width="9.6640625" style="3" bestFit="1" customWidth="1"/>
    <col min="35" max="35" width="9.5" bestFit="1" customWidth="1"/>
    <col min="36" max="36" width="18.1640625" bestFit="1" customWidth="1"/>
    <col min="37" max="37" width="13.5" bestFit="1" customWidth="1"/>
    <col min="38" max="38" width="10.6640625" bestFit="1" customWidth="1"/>
    <col min="39" max="39" width="7.5" bestFit="1" customWidth="1"/>
    <col min="40" max="40" width="8.1640625" bestFit="1" customWidth="1"/>
    <col min="41" max="41" width="16.5" bestFit="1" customWidth="1"/>
    <col min="42" max="42" width="12.5" bestFit="1" customWidth="1"/>
    <col min="43" max="43" width="10.33203125" bestFit="1" customWidth="1"/>
    <col min="44" max="44" width="16.83203125" bestFit="1" customWidth="1"/>
    <col min="45" max="45" width="10.5" bestFit="1" customWidth="1"/>
    <col min="46" max="46" width="11.5" bestFit="1" customWidth="1"/>
    <col min="47" max="47" width="9" bestFit="1" customWidth="1"/>
    <col min="48" max="48" width="20.6640625" bestFit="1" customWidth="1"/>
    <col min="49" max="49" width="10.5" bestFit="1" customWidth="1"/>
    <col min="50" max="51" width="16.1640625" bestFit="1" customWidth="1"/>
    <col min="52" max="52" width="15.1640625" bestFit="1" customWidth="1"/>
  </cols>
  <sheetData>
    <row r="1" spans="1:57" x14ac:dyDescent="0.2">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57" ht="30" customHeight="1" x14ac:dyDescent="0.2">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1811</v>
      </c>
      <c r="AE2" s="13" t="s">
        <v>1812</v>
      </c>
      <c r="AF2" s="13" t="s">
        <v>1813</v>
      </c>
      <c r="AG2" s="13" t="s">
        <v>1814</v>
      </c>
      <c r="AH2" s="13" t="s">
        <v>1815</v>
      </c>
      <c r="AI2" s="13" t="s">
        <v>1816</v>
      </c>
      <c r="AJ2" s="13" t="s">
        <v>1817</v>
      </c>
      <c r="AK2" s="13" t="s">
        <v>1818</v>
      </c>
      <c r="AL2" s="13" t="s">
        <v>1819</v>
      </c>
      <c r="AM2" s="13" t="s">
        <v>1820</v>
      </c>
      <c r="AN2" s="13" t="s">
        <v>1821</v>
      </c>
      <c r="AO2" s="13" t="s">
        <v>1822</v>
      </c>
      <c r="AP2" s="13" t="s">
        <v>1823</v>
      </c>
      <c r="AQ2" s="13" t="s">
        <v>1824</v>
      </c>
      <c r="AR2" s="13" t="s">
        <v>1825</v>
      </c>
      <c r="AS2" s="13" t="s">
        <v>1826</v>
      </c>
      <c r="AT2" s="13" t="s">
        <v>197</v>
      </c>
      <c r="AU2" s="13" t="s">
        <v>1827</v>
      </c>
      <c r="AV2" s="13" t="s">
        <v>1828</v>
      </c>
      <c r="AW2" s="13" t="s">
        <v>1829</v>
      </c>
      <c r="AX2" s="13" t="s">
        <v>1830</v>
      </c>
      <c r="AY2" s="13" t="s">
        <v>1831</v>
      </c>
      <c r="AZ2" s="13" t="s">
        <v>1832</v>
      </c>
      <c r="BA2" s="3"/>
      <c r="BB2" s="3"/>
    </row>
    <row r="3" spans="1:57" ht="15" customHeight="1" x14ac:dyDescent="0.2">
      <c r="A3" s="69" t="s">
        <v>463</v>
      </c>
      <c r="B3" s="70"/>
      <c r="C3" s="70"/>
      <c r="D3" s="71"/>
      <c r="E3" s="73"/>
      <c r="F3" s="109" t="str">
        <f>HYPERLINK("http://pbs.twimg.com/profile_images/658983992247451649/SvEmctbG_normal.jpg")</f>
        <v>http://pbs.twimg.com/profile_images/658983992247451649/SvEmctbG_normal.jpg</v>
      </c>
      <c r="G3" s="70"/>
      <c r="H3" s="74"/>
      <c r="I3" s="75"/>
      <c r="J3" s="75"/>
      <c r="K3" s="74" t="s">
        <v>3090</v>
      </c>
      <c r="L3" s="78"/>
      <c r="M3" s="79"/>
      <c r="N3" s="79"/>
      <c r="O3" s="80"/>
      <c r="P3" s="81"/>
      <c r="Q3" s="81"/>
      <c r="R3" s="50"/>
      <c r="S3" s="50"/>
      <c r="T3" s="50"/>
      <c r="U3" s="50"/>
      <c r="V3" s="51"/>
      <c r="W3" s="51"/>
      <c r="X3" s="52"/>
      <c r="Y3" s="51"/>
      <c r="Z3" s="51"/>
      <c r="AA3" s="76"/>
      <c r="AB3" s="76"/>
      <c r="AC3" s="77"/>
      <c r="AD3" s="83" t="s">
        <v>2106</v>
      </c>
      <c r="AE3" s="91" t="s">
        <v>2366</v>
      </c>
      <c r="AF3" s="83">
        <v>3560</v>
      </c>
      <c r="AG3" s="83">
        <v>1077</v>
      </c>
      <c r="AH3" s="83">
        <v>13038</v>
      </c>
      <c r="AI3" s="83">
        <v>36975</v>
      </c>
      <c r="AJ3" s="83"/>
      <c r="AK3" s="83" t="s">
        <v>2632</v>
      </c>
      <c r="AL3" s="83"/>
      <c r="AM3" s="83"/>
      <c r="AN3" s="83"/>
      <c r="AO3" s="85">
        <v>41961.538541666669</v>
      </c>
      <c r="AP3" s="88" t="str">
        <f>HYPERLINK("https://pbs.twimg.com/profile_banners/2903628266/1472298776")</f>
        <v>https://pbs.twimg.com/profile_banners/2903628266/1472298776</v>
      </c>
      <c r="AQ3" s="83" t="b">
        <v>1</v>
      </c>
      <c r="AR3" s="83" t="b">
        <v>0</v>
      </c>
      <c r="AS3" s="83" t="b">
        <v>1</v>
      </c>
      <c r="AT3" s="83"/>
      <c r="AU3" s="83">
        <v>3</v>
      </c>
      <c r="AV3" s="88" t="str">
        <f>HYPERLINK("http://abs.twimg.com/images/themes/theme1/bg.png")</f>
        <v>http://abs.twimg.com/images/themes/theme1/bg.png</v>
      </c>
      <c r="AW3" s="83" t="b">
        <v>0</v>
      </c>
      <c r="AX3" s="83" t="s">
        <v>2807</v>
      </c>
      <c r="AY3" s="88" t="str">
        <f>HYPERLINK("https://twitter.com/makoto_8810")</f>
        <v>https://twitter.com/makoto_8810</v>
      </c>
      <c r="AZ3" s="83" t="s">
        <v>66</v>
      </c>
      <c r="BA3" s="3"/>
      <c r="BB3" s="3"/>
    </row>
    <row r="4" spans="1:57" x14ac:dyDescent="0.2">
      <c r="A4" s="69" t="s">
        <v>217</v>
      </c>
      <c r="B4" s="70"/>
      <c r="C4" s="70"/>
      <c r="D4" s="71"/>
      <c r="E4" s="73"/>
      <c r="F4" s="109" t="str">
        <f>HYPERLINK("http://pbs.twimg.com/profile_images/1202685128914419714/3PZbLKSV_normal.jpg")</f>
        <v>http://pbs.twimg.com/profile_images/1202685128914419714/3PZbLKSV_normal.jpg</v>
      </c>
      <c r="G4" s="70"/>
      <c r="H4" s="74"/>
      <c r="I4" s="75"/>
      <c r="J4" s="75"/>
      <c r="K4" s="74" t="s">
        <v>2808</v>
      </c>
      <c r="L4" s="78"/>
      <c r="M4" s="79"/>
      <c r="N4" s="79"/>
      <c r="O4" s="80"/>
      <c r="P4" s="81"/>
      <c r="Q4" s="81"/>
      <c r="R4" s="93"/>
      <c r="S4" s="93"/>
      <c r="T4" s="93"/>
      <c r="U4" s="93"/>
      <c r="V4" s="52"/>
      <c r="W4" s="52"/>
      <c r="X4" s="52"/>
      <c r="Y4" s="52"/>
      <c r="Z4" s="51"/>
      <c r="AA4" s="76"/>
      <c r="AB4" s="76"/>
      <c r="AC4" s="77"/>
      <c r="AD4" s="83" t="s">
        <v>1833</v>
      </c>
      <c r="AE4" s="91" t="s">
        <v>2107</v>
      </c>
      <c r="AF4" s="83">
        <v>175</v>
      </c>
      <c r="AG4" s="83">
        <v>314</v>
      </c>
      <c r="AH4" s="83">
        <v>591</v>
      </c>
      <c r="AI4" s="83">
        <v>1351</v>
      </c>
      <c r="AJ4" s="83"/>
      <c r="AK4" s="83" t="s">
        <v>2367</v>
      </c>
      <c r="AL4" s="83" t="s">
        <v>1790</v>
      </c>
      <c r="AM4" s="83"/>
      <c r="AN4" s="83"/>
      <c r="AO4" s="85">
        <v>43180.497511574074</v>
      </c>
      <c r="AP4" s="88" t="str">
        <f>HYPERLINK("https://pbs.twimg.com/profile_banners/976427304980279296/1575577455")</f>
        <v>https://pbs.twimg.com/profile_banners/976427304980279296/1575577455</v>
      </c>
      <c r="AQ4" s="83" t="b">
        <v>0</v>
      </c>
      <c r="AR4" s="83" t="b">
        <v>0</v>
      </c>
      <c r="AS4" s="83" t="b">
        <v>0</v>
      </c>
      <c r="AT4" s="83"/>
      <c r="AU4" s="83">
        <v>0</v>
      </c>
      <c r="AV4" s="88" t="str">
        <f>HYPERLINK("http://abs.twimg.com/images/themes/theme1/bg.png")</f>
        <v>http://abs.twimg.com/images/themes/theme1/bg.png</v>
      </c>
      <c r="AW4" s="83" t="b">
        <v>0</v>
      </c>
      <c r="AX4" s="83" t="s">
        <v>2807</v>
      </c>
      <c r="AY4" s="88" t="str">
        <f>HYPERLINK("https://twitter.com/wayfarerperolas")</f>
        <v>https://twitter.com/wayfarerperolas</v>
      </c>
      <c r="AZ4" s="83" t="s">
        <v>66</v>
      </c>
      <c r="BA4" s="2"/>
      <c r="BB4" s="3"/>
      <c r="BC4" s="3"/>
      <c r="BD4" s="3"/>
      <c r="BE4" s="3"/>
    </row>
    <row r="5" spans="1:57" x14ac:dyDescent="0.2">
      <c r="A5" s="69" t="s">
        <v>218</v>
      </c>
      <c r="B5" s="70"/>
      <c r="C5" s="70"/>
      <c r="D5" s="71"/>
      <c r="E5" s="73"/>
      <c r="F5" s="109" t="str">
        <f>HYPERLINK("http://pbs.twimg.com/profile_images/1239053876445073408/oyGxo4AI_normal.jpg")</f>
        <v>http://pbs.twimg.com/profile_images/1239053876445073408/oyGxo4AI_normal.jpg</v>
      </c>
      <c r="G5" s="70"/>
      <c r="H5" s="74"/>
      <c r="I5" s="75"/>
      <c r="J5" s="75"/>
      <c r="K5" s="74" t="s">
        <v>2809</v>
      </c>
      <c r="L5" s="78"/>
      <c r="M5" s="79"/>
      <c r="N5" s="79"/>
      <c r="O5" s="80"/>
      <c r="P5" s="81"/>
      <c r="Q5" s="81"/>
      <c r="R5" s="93"/>
      <c r="S5" s="93"/>
      <c r="T5" s="93"/>
      <c r="U5" s="93"/>
      <c r="V5" s="52"/>
      <c r="W5" s="52"/>
      <c r="X5" s="52"/>
      <c r="Y5" s="52"/>
      <c r="Z5" s="51"/>
      <c r="AA5" s="76"/>
      <c r="AB5" s="76"/>
      <c r="AC5" s="77"/>
      <c r="AD5" s="83" t="s">
        <v>1834</v>
      </c>
      <c r="AE5" s="91" t="s">
        <v>2108</v>
      </c>
      <c r="AF5" s="83">
        <v>262</v>
      </c>
      <c r="AG5" s="83">
        <v>100</v>
      </c>
      <c r="AH5" s="83">
        <v>7928</v>
      </c>
      <c r="AI5" s="83">
        <v>10276</v>
      </c>
      <c r="AJ5" s="83"/>
      <c r="AK5" s="83" t="s">
        <v>2368</v>
      </c>
      <c r="AL5" s="83" t="s">
        <v>2633</v>
      </c>
      <c r="AM5" s="83"/>
      <c r="AN5" s="83"/>
      <c r="AO5" s="85">
        <v>40282.957326388889</v>
      </c>
      <c r="AP5" s="88" t="str">
        <f>HYPERLINK("https://pbs.twimg.com/profile_banners/133063060/1402224237")</f>
        <v>https://pbs.twimg.com/profile_banners/133063060/1402224237</v>
      </c>
      <c r="AQ5" s="83" t="b">
        <v>1</v>
      </c>
      <c r="AR5" s="83" t="b">
        <v>0</v>
      </c>
      <c r="AS5" s="83" t="b">
        <v>1</v>
      </c>
      <c r="AT5" s="83"/>
      <c r="AU5" s="83">
        <v>2</v>
      </c>
      <c r="AV5" s="88" t="str">
        <f>HYPERLINK("http://abs.twimg.com/images/themes/theme1/bg.png")</f>
        <v>http://abs.twimg.com/images/themes/theme1/bg.png</v>
      </c>
      <c r="AW5" s="83" t="b">
        <v>0</v>
      </c>
      <c r="AX5" s="83" t="s">
        <v>2807</v>
      </c>
      <c r="AY5" s="88" t="str">
        <f>HYPERLINK("https://twitter.com/melanchoric4149")</f>
        <v>https://twitter.com/melanchoric4149</v>
      </c>
      <c r="AZ5" s="83" t="s">
        <v>66</v>
      </c>
      <c r="BA5" s="2"/>
      <c r="BB5" s="3"/>
      <c r="BC5" s="3"/>
      <c r="BD5" s="3"/>
      <c r="BE5" s="3"/>
    </row>
    <row r="6" spans="1:57" x14ac:dyDescent="0.2">
      <c r="A6" s="69" t="s">
        <v>219</v>
      </c>
      <c r="B6" s="70"/>
      <c r="C6" s="70"/>
      <c r="D6" s="71"/>
      <c r="E6" s="73"/>
      <c r="F6" s="109" t="str">
        <f>HYPERLINK("http://pbs.twimg.com/profile_images/1268119624622604289/_WzqtViR_normal.jpg")</f>
        <v>http://pbs.twimg.com/profile_images/1268119624622604289/_WzqtViR_normal.jpg</v>
      </c>
      <c r="G6" s="70"/>
      <c r="H6" s="74"/>
      <c r="I6" s="75"/>
      <c r="J6" s="75"/>
      <c r="K6" s="74" t="s">
        <v>2810</v>
      </c>
      <c r="L6" s="78"/>
      <c r="M6" s="79"/>
      <c r="N6" s="79"/>
      <c r="O6" s="80"/>
      <c r="P6" s="81"/>
      <c r="Q6" s="81"/>
      <c r="R6" s="93"/>
      <c r="S6" s="93"/>
      <c r="T6" s="93"/>
      <c r="U6" s="93"/>
      <c r="V6" s="52"/>
      <c r="W6" s="52"/>
      <c r="X6" s="52"/>
      <c r="Y6" s="52"/>
      <c r="Z6" s="51"/>
      <c r="AA6" s="76"/>
      <c r="AB6" s="76"/>
      <c r="AC6" s="77"/>
      <c r="AD6" s="83" t="s">
        <v>1835</v>
      </c>
      <c r="AE6" s="91" t="s">
        <v>2109</v>
      </c>
      <c r="AF6" s="83">
        <v>57</v>
      </c>
      <c r="AG6" s="83">
        <v>44</v>
      </c>
      <c r="AH6" s="83">
        <v>1062</v>
      </c>
      <c r="AI6" s="83">
        <v>753</v>
      </c>
      <c r="AJ6" s="83"/>
      <c r="AK6" s="83" t="s">
        <v>2369</v>
      </c>
      <c r="AL6" s="83"/>
      <c r="AM6" s="83"/>
      <c r="AN6" s="83"/>
      <c r="AO6" s="85">
        <v>42568.000185185185</v>
      </c>
      <c r="AP6" s="88" t="str">
        <f>HYPERLINK("https://pbs.twimg.com/profile_banners/754465704988905473/1579999268")</f>
        <v>https://pbs.twimg.com/profile_banners/754465704988905473/1579999268</v>
      </c>
      <c r="AQ6" s="83" t="b">
        <v>1</v>
      </c>
      <c r="AR6" s="83" t="b">
        <v>0</v>
      </c>
      <c r="AS6" s="83" t="b">
        <v>0</v>
      </c>
      <c r="AT6" s="83"/>
      <c r="AU6" s="83">
        <v>2</v>
      </c>
      <c r="AV6" s="83"/>
      <c r="AW6" s="83" t="b">
        <v>0</v>
      </c>
      <c r="AX6" s="83" t="s">
        <v>2807</v>
      </c>
      <c r="AY6" s="88" t="str">
        <f>HYPERLINK("https://twitter.com/nyaoooosan")</f>
        <v>https://twitter.com/nyaoooosan</v>
      </c>
      <c r="AZ6" s="83" t="s">
        <v>66</v>
      </c>
      <c r="BA6" s="2"/>
      <c r="BB6" s="3"/>
      <c r="BC6" s="3"/>
      <c r="BD6" s="3"/>
      <c r="BE6" s="3"/>
    </row>
    <row r="7" spans="1:57" x14ac:dyDescent="0.2">
      <c r="A7" s="69" t="s">
        <v>220</v>
      </c>
      <c r="B7" s="70"/>
      <c r="C7" s="70"/>
      <c r="D7" s="71"/>
      <c r="E7" s="73"/>
      <c r="F7" s="109" t="str">
        <f>HYPERLINK("http://pbs.twimg.com/profile_images/1257373632616992768/mH1AqO68_normal.jpg")</f>
        <v>http://pbs.twimg.com/profile_images/1257373632616992768/mH1AqO68_normal.jpg</v>
      </c>
      <c r="G7" s="70"/>
      <c r="H7" s="74"/>
      <c r="I7" s="75"/>
      <c r="J7" s="75"/>
      <c r="K7" s="74" t="s">
        <v>2811</v>
      </c>
      <c r="L7" s="78"/>
      <c r="M7" s="79"/>
      <c r="N7" s="79"/>
      <c r="O7" s="80"/>
      <c r="P7" s="81"/>
      <c r="Q7" s="81"/>
      <c r="R7" s="93"/>
      <c r="S7" s="93"/>
      <c r="T7" s="93"/>
      <c r="U7" s="93"/>
      <c r="V7" s="52"/>
      <c r="W7" s="52"/>
      <c r="X7" s="52"/>
      <c r="Y7" s="52"/>
      <c r="Z7" s="51"/>
      <c r="AA7" s="76"/>
      <c r="AB7" s="76"/>
      <c r="AC7" s="77"/>
      <c r="AD7" s="83" t="s">
        <v>1836</v>
      </c>
      <c r="AE7" s="91" t="s">
        <v>2110</v>
      </c>
      <c r="AF7" s="83">
        <v>921</v>
      </c>
      <c r="AG7" s="83">
        <v>900</v>
      </c>
      <c r="AH7" s="83">
        <v>31104</v>
      </c>
      <c r="AI7" s="83">
        <v>10548</v>
      </c>
      <c r="AJ7" s="83"/>
      <c r="AK7" s="83" t="s">
        <v>2370</v>
      </c>
      <c r="AL7" s="83" t="s">
        <v>2634</v>
      </c>
      <c r="AM7" s="83"/>
      <c r="AN7" s="83"/>
      <c r="AO7" s="85">
        <v>43761.444340277776</v>
      </c>
      <c r="AP7" s="88" t="str">
        <f>HYPERLINK("https://pbs.twimg.com/profile_banners/1186955363288961025/1580014968")</f>
        <v>https://pbs.twimg.com/profile_banners/1186955363288961025/1580014968</v>
      </c>
      <c r="AQ7" s="83" t="b">
        <v>1</v>
      </c>
      <c r="AR7" s="83" t="b">
        <v>0</v>
      </c>
      <c r="AS7" s="83" t="b">
        <v>1</v>
      </c>
      <c r="AT7" s="83"/>
      <c r="AU7" s="83">
        <v>24</v>
      </c>
      <c r="AV7" s="83"/>
      <c r="AW7" s="83" t="b">
        <v>0</v>
      </c>
      <c r="AX7" s="83" t="s">
        <v>2807</v>
      </c>
      <c r="AY7" s="88" t="str">
        <f>HYPERLINK("https://twitter.com/pik3po")</f>
        <v>https://twitter.com/pik3po</v>
      </c>
      <c r="AZ7" s="83" t="s">
        <v>66</v>
      </c>
      <c r="BA7" s="2"/>
      <c r="BB7" s="3"/>
      <c r="BC7" s="3"/>
      <c r="BD7" s="3"/>
      <c r="BE7" s="3"/>
    </row>
    <row r="8" spans="1:57" x14ac:dyDescent="0.2">
      <c r="A8" s="69" t="s">
        <v>221</v>
      </c>
      <c r="B8" s="70"/>
      <c r="C8" s="70"/>
      <c r="D8" s="71"/>
      <c r="E8" s="73"/>
      <c r="F8" s="109" t="str">
        <f>HYPERLINK("http://pbs.twimg.com/profile_images/1113221276879843328/jhMUUkJm_normal.png")</f>
        <v>http://pbs.twimg.com/profile_images/1113221276879843328/jhMUUkJm_normal.png</v>
      </c>
      <c r="G8" s="70"/>
      <c r="H8" s="74"/>
      <c r="I8" s="75"/>
      <c r="J8" s="75"/>
      <c r="K8" s="74" t="s">
        <v>2812</v>
      </c>
      <c r="L8" s="78"/>
      <c r="M8" s="79"/>
      <c r="N8" s="79"/>
      <c r="O8" s="80"/>
      <c r="P8" s="81"/>
      <c r="Q8" s="81"/>
      <c r="R8" s="93"/>
      <c r="S8" s="93"/>
      <c r="T8" s="93"/>
      <c r="U8" s="93"/>
      <c r="V8" s="52"/>
      <c r="W8" s="52"/>
      <c r="X8" s="52"/>
      <c r="Y8" s="52"/>
      <c r="Z8" s="51"/>
      <c r="AA8" s="76"/>
      <c r="AB8" s="76"/>
      <c r="AC8" s="77"/>
      <c r="AD8" s="83" t="s">
        <v>1837</v>
      </c>
      <c r="AE8" s="91" t="s">
        <v>1725</v>
      </c>
      <c r="AF8" s="83">
        <v>38</v>
      </c>
      <c r="AG8" s="83">
        <v>2</v>
      </c>
      <c r="AH8" s="83">
        <v>591</v>
      </c>
      <c r="AI8" s="83">
        <v>25</v>
      </c>
      <c r="AJ8" s="83"/>
      <c r="AK8" s="83" t="s">
        <v>2371</v>
      </c>
      <c r="AL8" s="83" t="s">
        <v>2635</v>
      </c>
      <c r="AM8" s="88" t="str">
        <f>HYPERLINK("https://t.co/Q3ERPa6OyI")</f>
        <v>https://t.co/Q3ERPa6OyI</v>
      </c>
      <c r="AN8" s="83"/>
      <c r="AO8" s="85">
        <v>43500.64739583333</v>
      </c>
      <c r="AP8" s="88" t="str">
        <f>HYPERLINK("https://pbs.twimg.com/profile_banners/1092445739190374401/1571916729")</f>
        <v>https://pbs.twimg.com/profile_banners/1092445739190374401/1571916729</v>
      </c>
      <c r="AQ8" s="83" t="b">
        <v>0</v>
      </c>
      <c r="AR8" s="83" t="b">
        <v>0</v>
      </c>
      <c r="AS8" s="83" t="b">
        <v>0</v>
      </c>
      <c r="AT8" s="83"/>
      <c r="AU8" s="83">
        <v>0</v>
      </c>
      <c r="AV8" s="88" t="str">
        <f>HYPERLINK("http://abs.twimg.com/images/themes/theme1/bg.png")</f>
        <v>http://abs.twimg.com/images/themes/theme1/bg.png</v>
      </c>
      <c r="AW8" s="83" t="b">
        <v>0</v>
      </c>
      <c r="AX8" s="83" t="s">
        <v>2807</v>
      </c>
      <c r="AY8" s="88" t="str">
        <f>HYPERLINK("https://twitter.com/kagura2718")</f>
        <v>https://twitter.com/kagura2718</v>
      </c>
      <c r="AZ8" s="83" t="s">
        <v>66</v>
      </c>
      <c r="BA8" s="2"/>
      <c r="BB8" s="3"/>
      <c r="BC8" s="3"/>
      <c r="BD8" s="3"/>
      <c r="BE8" s="3"/>
    </row>
    <row r="9" spans="1:57" x14ac:dyDescent="0.2">
      <c r="A9" s="69" t="s">
        <v>222</v>
      </c>
      <c r="B9" s="70"/>
      <c r="C9" s="70"/>
      <c r="D9" s="71"/>
      <c r="E9" s="73"/>
      <c r="F9" s="109" t="str">
        <f>HYPERLINK("http://pbs.twimg.com/profile_images/1231136786853707776/8ewqDrEV_normal.jpg")</f>
        <v>http://pbs.twimg.com/profile_images/1231136786853707776/8ewqDrEV_normal.jpg</v>
      </c>
      <c r="G9" s="70"/>
      <c r="H9" s="74"/>
      <c r="I9" s="75"/>
      <c r="J9" s="75"/>
      <c r="K9" s="74" t="s">
        <v>2813</v>
      </c>
      <c r="L9" s="78"/>
      <c r="M9" s="79"/>
      <c r="N9" s="79"/>
      <c r="O9" s="80"/>
      <c r="P9" s="81"/>
      <c r="Q9" s="81"/>
      <c r="R9" s="93"/>
      <c r="S9" s="93"/>
      <c r="T9" s="93"/>
      <c r="U9" s="93"/>
      <c r="V9" s="52"/>
      <c r="W9" s="52"/>
      <c r="X9" s="52"/>
      <c r="Y9" s="52"/>
      <c r="Z9" s="51"/>
      <c r="AA9" s="76"/>
      <c r="AB9" s="76"/>
      <c r="AC9" s="77"/>
      <c r="AD9" s="83" t="s">
        <v>1838</v>
      </c>
      <c r="AE9" s="91" t="s">
        <v>2111</v>
      </c>
      <c r="AF9" s="83">
        <v>767</v>
      </c>
      <c r="AG9" s="83">
        <v>997</v>
      </c>
      <c r="AH9" s="83">
        <v>67753</v>
      </c>
      <c r="AI9" s="83">
        <v>96224</v>
      </c>
      <c r="AJ9" s="83"/>
      <c r="AK9" s="83" t="s">
        <v>2372</v>
      </c>
      <c r="AL9" s="83" t="s">
        <v>2636</v>
      </c>
      <c r="AM9" s="88" t="str">
        <f>HYPERLINK("https://t.co/DLYBrE7LUB")</f>
        <v>https://t.co/DLYBrE7LUB</v>
      </c>
      <c r="AN9" s="83"/>
      <c r="AO9" s="85">
        <v>41917.101597222223</v>
      </c>
      <c r="AP9" s="88" t="str">
        <f>HYPERLINK("https://pbs.twimg.com/profile_banners/2840686022/1593005367")</f>
        <v>https://pbs.twimg.com/profile_banners/2840686022/1593005367</v>
      </c>
      <c r="AQ9" s="83" t="b">
        <v>1</v>
      </c>
      <c r="AR9" s="83" t="b">
        <v>0</v>
      </c>
      <c r="AS9" s="83" t="b">
        <v>1</v>
      </c>
      <c r="AT9" s="83"/>
      <c r="AU9" s="83">
        <v>18</v>
      </c>
      <c r="AV9" s="88" t="str">
        <f>HYPERLINK("http://abs.twimg.com/images/themes/theme1/bg.png")</f>
        <v>http://abs.twimg.com/images/themes/theme1/bg.png</v>
      </c>
      <c r="AW9" s="83" t="b">
        <v>0</v>
      </c>
      <c r="AX9" s="83" t="s">
        <v>2807</v>
      </c>
      <c r="AY9" s="88" t="str">
        <f>HYPERLINK("https://twitter.com/0218_blue_sky")</f>
        <v>https://twitter.com/0218_blue_sky</v>
      </c>
      <c r="AZ9" s="83" t="s">
        <v>66</v>
      </c>
      <c r="BA9" s="2"/>
      <c r="BB9" s="3"/>
      <c r="BC9" s="3"/>
      <c r="BD9" s="3"/>
      <c r="BE9" s="3"/>
    </row>
    <row r="10" spans="1:57" x14ac:dyDescent="0.2">
      <c r="A10" s="69" t="s">
        <v>223</v>
      </c>
      <c r="B10" s="70"/>
      <c r="C10" s="70"/>
      <c r="D10" s="71"/>
      <c r="E10" s="73"/>
      <c r="F10" s="109" t="str">
        <f>HYPERLINK("http://pbs.twimg.com/profile_images/994875760899969029/rRmPMOt-_normal.jpg")</f>
        <v>http://pbs.twimg.com/profile_images/994875760899969029/rRmPMOt-_normal.jpg</v>
      </c>
      <c r="G10" s="70"/>
      <c r="H10" s="74"/>
      <c r="I10" s="75"/>
      <c r="J10" s="75"/>
      <c r="K10" s="74" t="s">
        <v>2814</v>
      </c>
      <c r="L10" s="78"/>
      <c r="M10" s="79"/>
      <c r="N10" s="79"/>
      <c r="O10" s="80"/>
      <c r="P10" s="81"/>
      <c r="Q10" s="81"/>
      <c r="R10" s="93"/>
      <c r="S10" s="93"/>
      <c r="T10" s="93"/>
      <c r="U10" s="93"/>
      <c r="V10" s="52"/>
      <c r="W10" s="52"/>
      <c r="X10" s="52"/>
      <c r="Y10" s="52"/>
      <c r="Z10" s="51"/>
      <c r="AA10" s="76"/>
      <c r="AB10" s="76"/>
      <c r="AC10" s="77"/>
      <c r="AD10" s="83" t="s">
        <v>1839</v>
      </c>
      <c r="AE10" s="91" t="s">
        <v>2112</v>
      </c>
      <c r="AF10" s="83">
        <v>673</v>
      </c>
      <c r="AG10" s="83">
        <v>224</v>
      </c>
      <c r="AH10" s="83">
        <v>29233</v>
      </c>
      <c r="AI10" s="83">
        <v>26831</v>
      </c>
      <c r="AJ10" s="83"/>
      <c r="AK10" s="83" t="s">
        <v>2373</v>
      </c>
      <c r="AL10" s="83" t="s">
        <v>2637</v>
      </c>
      <c r="AM10" s="83"/>
      <c r="AN10" s="83"/>
      <c r="AO10" s="85">
        <v>42517.432083333333</v>
      </c>
      <c r="AP10" s="88" t="str">
        <f>HYPERLINK("https://pbs.twimg.com/profile_banners/736140441595285504/1526031841")</f>
        <v>https://pbs.twimg.com/profile_banners/736140441595285504/1526031841</v>
      </c>
      <c r="AQ10" s="83" t="b">
        <v>1</v>
      </c>
      <c r="AR10" s="83" t="b">
        <v>0</v>
      </c>
      <c r="AS10" s="83" t="b">
        <v>1</v>
      </c>
      <c r="AT10" s="83"/>
      <c r="AU10" s="83">
        <v>0</v>
      </c>
      <c r="AV10" s="83"/>
      <c r="AW10" s="83" t="b">
        <v>0</v>
      </c>
      <c r="AX10" s="83" t="s">
        <v>2807</v>
      </c>
      <c r="AY10" s="88" t="str">
        <f>HYPERLINK("https://twitter.com/har067014")</f>
        <v>https://twitter.com/har067014</v>
      </c>
      <c r="AZ10" s="83" t="s">
        <v>66</v>
      </c>
      <c r="BA10" s="2"/>
      <c r="BB10" s="3"/>
      <c r="BC10" s="3"/>
      <c r="BD10" s="3"/>
      <c r="BE10" s="3"/>
    </row>
    <row r="11" spans="1:57" x14ac:dyDescent="0.2">
      <c r="A11" s="69" t="s">
        <v>228</v>
      </c>
      <c r="B11" s="70"/>
      <c r="C11" s="70"/>
      <c r="D11" s="71"/>
      <c r="E11" s="73"/>
      <c r="F11" s="109" t="str">
        <f>HYPERLINK("http://pbs.twimg.com/profile_images/378800000255522613/15c74dd8ad9e11013c7fc6ba2cdc2be3_normal.png")</f>
        <v>http://pbs.twimg.com/profile_images/378800000255522613/15c74dd8ad9e11013c7fc6ba2cdc2be3_normal.png</v>
      </c>
      <c r="G11" s="70"/>
      <c r="H11" s="74"/>
      <c r="I11" s="75"/>
      <c r="J11" s="75"/>
      <c r="K11" s="74" t="s">
        <v>2815</v>
      </c>
      <c r="L11" s="78"/>
      <c r="M11" s="79"/>
      <c r="N11" s="79"/>
      <c r="O11" s="80"/>
      <c r="P11" s="81"/>
      <c r="Q11" s="81"/>
      <c r="R11" s="93"/>
      <c r="S11" s="93"/>
      <c r="T11" s="93"/>
      <c r="U11" s="93"/>
      <c r="V11" s="52"/>
      <c r="W11" s="52"/>
      <c r="X11" s="52"/>
      <c r="Y11" s="52"/>
      <c r="Z11" s="51"/>
      <c r="AA11" s="76"/>
      <c r="AB11" s="76"/>
      <c r="AC11" s="77"/>
      <c r="AD11" s="83" t="s">
        <v>1840</v>
      </c>
      <c r="AE11" s="91" t="s">
        <v>2113</v>
      </c>
      <c r="AF11" s="83">
        <v>545</v>
      </c>
      <c r="AG11" s="83">
        <v>12029</v>
      </c>
      <c r="AH11" s="83">
        <v>26928</v>
      </c>
      <c r="AI11" s="83">
        <v>343</v>
      </c>
      <c r="AJ11" s="83"/>
      <c r="AK11" s="83" t="s">
        <v>2374</v>
      </c>
      <c r="AL11" s="83"/>
      <c r="AM11" s="88" t="str">
        <f>HYPERLINK("https://t.co/PF5cotVlS8")</f>
        <v>https://t.co/PF5cotVlS8</v>
      </c>
      <c r="AN11" s="83"/>
      <c r="AO11" s="85">
        <v>40717.880844907406</v>
      </c>
      <c r="AP11" s="88" t="str">
        <f>HYPERLINK("https://pbs.twimg.com/profile_banners/322851412/1375888509")</f>
        <v>https://pbs.twimg.com/profile_banners/322851412/1375888509</v>
      </c>
      <c r="AQ11" s="83" t="b">
        <v>0</v>
      </c>
      <c r="AR11" s="83" t="b">
        <v>0</v>
      </c>
      <c r="AS11" s="83" t="b">
        <v>0</v>
      </c>
      <c r="AT11" s="83"/>
      <c r="AU11" s="83">
        <v>81</v>
      </c>
      <c r="AV11" s="88" t="str">
        <f>HYPERLINK("http://abs.twimg.com/images/themes/theme1/bg.png")</f>
        <v>http://abs.twimg.com/images/themes/theme1/bg.png</v>
      </c>
      <c r="AW11" s="83" t="b">
        <v>0</v>
      </c>
      <c r="AX11" s="83" t="s">
        <v>2807</v>
      </c>
      <c r="AY11" s="88" t="str">
        <f>HYPERLINK("https://twitter.com/barnfinds")</f>
        <v>https://twitter.com/barnfinds</v>
      </c>
      <c r="AZ11" s="83" t="s">
        <v>66</v>
      </c>
      <c r="BA11" s="2"/>
      <c r="BB11" s="3"/>
      <c r="BC11" s="3"/>
      <c r="BD11" s="3"/>
      <c r="BE11" s="3"/>
    </row>
    <row r="12" spans="1:57" x14ac:dyDescent="0.2">
      <c r="A12" s="69" t="s">
        <v>224</v>
      </c>
      <c r="B12" s="70"/>
      <c r="C12" s="70"/>
      <c r="D12" s="71"/>
      <c r="E12" s="73"/>
      <c r="F12" s="109" t="str">
        <f>HYPERLINK("http://pbs.twimg.com/profile_images/378800000727296900/ebd8f4f0100726203de1f65d20ed9f8e_normal.png")</f>
        <v>http://pbs.twimg.com/profile_images/378800000727296900/ebd8f4f0100726203de1f65d20ed9f8e_normal.png</v>
      </c>
      <c r="G12" s="70"/>
      <c r="H12" s="74"/>
      <c r="I12" s="75"/>
      <c r="J12" s="75"/>
      <c r="K12" s="74" t="s">
        <v>2816</v>
      </c>
      <c r="L12" s="78"/>
      <c r="M12" s="79"/>
      <c r="N12" s="79"/>
      <c r="O12" s="80"/>
      <c r="P12" s="81"/>
      <c r="Q12" s="81"/>
      <c r="R12" s="93"/>
      <c r="S12" s="93"/>
      <c r="T12" s="93"/>
      <c r="U12" s="93"/>
      <c r="V12" s="52"/>
      <c r="W12" s="52"/>
      <c r="X12" s="52"/>
      <c r="Y12" s="52"/>
      <c r="Z12" s="51"/>
      <c r="AA12" s="76"/>
      <c r="AB12" s="76"/>
      <c r="AC12" s="77"/>
      <c r="AD12" s="83" t="s">
        <v>1841</v>
      </c>
      <c r="AE12" s="91" t="s">
        <v>2114</v>
      </c>
      <c r="AF12" s="83">
        <v>5622</v>
      </c>
      <c r="AG12" s="83">
        <v>5114</v>
      </c>
      <c r="AH12" s="83">
        <v>102714</v>
      </c>
      <c r="AI12" s="83">
        <v>5282</v>
      </c>
      <c r="AJ12" s="83"/>
      <c r="AK12" s="83" t="s">
        <v>2375</v>
      </c>
      <c r="AL12" s="83"/>
      <c r="AM12" s="83"/>
      <c r="AN12" s="83"/>
      <c r="AO12" s="85">
        <v>40643.751701388886</v>
      </c>
      <c r="AP12" s="83"/>
      <c r="AQ12" s="83" t="b">
        <v>1</v>
      </c>
      <c r="AR12" s="83" t="b">
        <v>0</v>
      </c>
      <c r="AS12" s="83" t="b">
        <v>0</v>
      </c>
      <c r="AT12" s="83"/>
      <c r="AU12" s="83">
        <v>130</v>
      </c>
      <c r="AV12" s="88" t="str">
        <f>HYPERLINK("http://abs.twimg.com/images/themes/theme1/bg.png")</f>
        <v>http://abs.twimg.com/images/themes/theme1/bg.png</v>
      </c>
      <c r="AW12" s="83" t="b">
        <v>0</v>
      </c>
      <c r="AX12" s="83" t="s">
        <v>2807</v>
      </c>
      <c r="AY12" s="88" t="str">
        <f>HYPERLINK("https://twitter.com/capttere")</f>
        <v>https://twitter.com/capttere</v>
      </c>
      <c r="AZ12" s="83" t="s">
        <v>66</v>
      </c>
      <c r="BA12" s="2"/>
      <c r="BB12" s="3"/>
      <c r="BC12" s="3"/>
      <c r="BD12" s="3"/>
      <c r="BE12" s="3"/>
    </row>
    <row r="13" spans="1:57" x14ac:dyDescent="0.2">
      <c r="A13" s="69" t="s">
        <v>225</v>
      </c>
      <c r="B13" s="70"/>
      <c r="C13" s="70"/>
      <c r="D13" s="71"/>
      <c r="E13" s="73"/>
      <c r="F13" s="109" t="str">
        <f>HYPERLINK("http://pbs.twimg.com/profile_images/1255981873/pimp_shredder_icon_normal.jpg")</f>
        <v>http://pbs.twimg.com/profile_images/1255981873/pimp_shredder_icon_normal.jpg</v>
      </c>
      <c r="G13" s="70"/>
      <c r="H13" s="74"/>
      <c r="I13" s="75"/>
      <c r="J13" s="75"/>
      <c r="K13" s="74" t="s">
        <v>2817</v>
      </c>
      <c r="L13" s="78"/>
      <c r="M13" s="79"/>
      <c r="N13" s="79"/>
      <c r="O13" s="80"/>
      <c r="P13" s="81"/>
      <c r="Q13" s="81"/>
      <c r="R13" s="93"/>
      <c r="S13" s="93"/>
      <c r="T13" s="93"/>
      <c r="U13" s="93"/>
      <c r="V13" s="52"/>
      <c r="W13" s="52"/>
      <c r="X13" s="52"/>
      <c r="Y13" s="52"/>
      <c r="Z13" s="51"/>
      <c r="AA13" s="76"/>
      <c r="AB13" s="76"/>
      <c r="AC13" s="77"/>
      <c r="AD13" s="83" t="s">
        <v>1842</v>
      </c>
      <c r="AE13" s="91" t="s">
        <v>2115</v>
      </c>
      <c r="AF13" s="83">
        <v>4034</v>
      </c>
      <c r="AG13" s="83">
        <v>321</v>
      </c>
      <c r="AH13" s="83">
        <v>29884</v>
      </c>
      <c r="AI13" s="83">
        <v>31707</v>
      </c>
      <c r="AJ13" s="83"/>
      <c r="AK13" s="83" t="s">
        <v>2376</v>
      </c>
      <c r="AL13" s="83" t="s">
        <v>2638</v>
      </c>
      <c r="AM13" s="88" t="str">
        <f>HYPERLINK("https://t.co/BHeDQ9qcQm")</f>
        <v>https://t.co/BHeDQ9qcQm</v>
      </c>
      <c r="AN13" s="83"/>
      <c r="AO13" s="85">
        <v>40600.806875000002</v>
      </c>
      <c r="AP13" s="88" t="str">
        <f>HYPERLINK("https://pbs.twimg.com/profile_banners/258008766/1569720161")</f>
        <v>https://pbs.twimg.com/profile_banners/258008766/1569720161</v>
      </c>
      <c r="AQ13" s="83" t="b">
        <v>0</v>
      </c>
      <c r="AR13" s="83" t="b">
        <v>0</v>
      </c>
      <c r="AS13" s="83" t="b">
        <v>0</v>
      </c>
      <c r="AT13" s="83"/>
      <c r="AU13" s="83">
        <v>10</v>
      </c>
      <c r="AV13" s="88" t="str">
        <f>HYPERLINK("http://abs.twimg.com/images/themes/theme1/bg.png")</f>
        <v>http://abs.twimg.com/images/themes/theme1/bg.png</v>
      </c>
      <c r="AW13" s="83" t="b">
        <v>0</v>
      </c>
      <c r="AX13" s="83" t="s">
        <v>2807</v>
      </c>
      <c r="AY13" s="88" t="str">
        <f>HYPERLINK("https://twitter.com/pimp_shredder")</f>
        <v>https://twitter.com/pimp_shredder</v>
      </c>
      <c r="AZ13" s="83" t="s">
        <v>66</v>
      </c>
      <c r="BA13" s="2"/>
      <c r="BB13" s="3"/>
      <c r="BC13" s="3"/>
      <c r="BD13" s="3"/>
      <c r="BE13" s="3"/>
    </row>
    <row r="14" spans="1:57" x14ac:dyDescent="0.2">
      <c r="A14" s="69" t="s">
        <v>226</v>
      </c>
      <c r="B14" s="70"/>
      <c r="C14" s="70"/>
      <c r="D14" s="71"/>
      <c r="E14" s="73"/>
      <c r="F14" s="109" t="str">
        <f>HYPERLINK("http://pbs.twimg.com/profile_images/1094079015399317504/XKNgY4i1_normal.jpg")</f>
        <v>http://pbs.twimg.com/profile_images/1094079015399317504/XKNgY4i1_normal.jpg</v>
      </c>
      <c r="G14" s="70"/>
      <c r="H14" s="74"/>
      <c r="I14" s="75"/>
      <c r="J14" s="75"/>
      <c r="K14" s="74" t="s">
        <v>2818</v>
      </c>
      <c r="L14" s="78"/>
      <c r="M14" s="79"/>
      <c r="N14" s="79"/>
      <c r="O14" s="80"/>
      <c r="P14" s="81"/>
      <c r="Q14" s="81"/>
      <c r="R14" s="93"/>
      <c r="S14" s="93"/>
      <c r="T14" s="93"/>
      <c r="U14" s="93"/>
      <c r="V14" s="52"/>
      <c r="W14" s="52"/>
      <c r="X14" s="52"/>
      <c r="Y14" s="52"/>
      <c r="Z14" s="51"/>
      <c r="AA14" s="76"/>
      <c r="AB14" s="76"/>
      <c r="AC14" s="77"/>
      <c r="AD14" s="83" t="s">
        <v>1843</v>
      </c>
      <c r="AE14" s="91" t="s">
        <v>2116</v>
      </c>
      <c r="AF14" s="83">
        <v>309</v>
      </c>
      <c r="AG14" s="83">
        <v>301</v>
      </c>
      <c r="AH14" s="83">
        <v>5197</v>
      </c>
      <c r="AI14" s="83">
        <v>8114</v>
      </c>
      <c r="AJ14" s="83"/>
      <c r="AK14" s="83" t="s">
        <v>2377</v>
      </c>
      <c r="AL14" s="83"/>
      <c r="AM14" s="83"/>
      <c r="AN14" s="83"/>
      <c r="AO14" s="85">
        <v>43340.358067129629</v>
      </c>
      <c r="AP14" s="88" t="str">
        <f>HYPERLINK("https://pbs.twimg.com/profile_banners/1034358829176123393/1555866540")</f>
        <v>https://pbs.twimg.com/profile_banners/1034358829176123393/1555866540</v>
      </c>
      <c r="AQ14" s="83" t="b">
        <v>1</v>
      </c>
      <c r="AR14" s="83" t="b">
        <v>0</v>
      </c>
      <c r="AS14" s="83" t="b">
        <v>1</v>
      </c>
      <c r="AT14" s="83"/>
      <c r="AU14" s="83">
        <v>3</v>
      </c>
      <c r="AV14" s="83"/>
      <c r="AW14" s="83" t="b">
        <v>0</v>
      </c>
      <c r="AX14" s="83" t="s">
        <v>2807</v>
      </c>
      <c r="AY14" s="88" t="str">
        <f>HYPERLINK("https://twitter.com/mimipokemon1")</f>
        <v>https://twitter.com/mimipokemon1</v>
      </c>
      <c r="AZ14" s="83" t="s">
        <v>66</v>
      </c>
      <c r="BA14" s="2"/>
      <c r="BB14" s="3"/>
      <c r="BC14" s="3"/>
      <c r="BD14" s="3"/>
      <c r="BE14" s="3"/>
    </row>
    <row r="15" spans="1:57" x14ac:dyDescent="0.2">
      <c r="A15" s="69" t="s">
        <v>227</v>
      </c>
      <c r="B15" s="70"/>
      <c r="C15" s="70"/>
      <c r="D15" s="71"/>
      <c r="E15" s="73"/>
      <c r="F15" s="109" t="str">
        <f>HYPERLINK("http://pbs.twimg.com/profile_images/1266115905819308032/D1E9YnIX_normal.jpg")</f>
        <v>http://pbs.twimg.com/profile_images/1266115905819308032/D1E9YnIX_normal.jpg</v>
      </c>
      <c r="G15" s="70"/>
      <c r="H15" s="74"/>
      <c r="I15" s="75"/>
      <c r="J15" s="75"/>
      <c r="K15" s="74" t="s">
        <v>2819</v>
      </c>
      <c r="L15" s="78"/>
      <c r="M15" s="79"/>
      <c r="N15" s="79"/>
      <c r="O15" s="80"/>
      <c r="P15" s="81"/>
      <c r="Q15" s="81"/>
      <c r="R15" s="93"/>
      <c r="S15" s="93"/>
      <c r="T15" s="93"/>
      <c r="U15" s="93"/>
      <c r="V15" s="52"/>
      <c r="W15" s="52"/>
      <c r="X15" s="52"/>
      <c r="Y15" s="52"/>
      <c r="Z15" s="51"/>
      <c r="AA15" s="76"/>
      <c r="AB15" s="76"/>
      <c r="AC15" s="77"/>
      <c r="AD15" s="83" t="s">
        <v>1844</v>
      </c>
      <c r="AE15" s="91" t="s">
        <v>2117</v>
      </c>
      <c r="AF15" s="83">
        <v>642</v>
      </c>
      <c r="AG15" s="83">
        <v>148</v>
      </c>
      <c r="AH15" s="83">
        <v>6456</v>
      </c>
      <c r="AI15" s="83">
        <v>11257</v>
      </c>
      <c r="AJ15" s="83"/>
      <c r="AK15" s="83" t="s">
        <v>2378</v>
      </c>
      <c r="AL15" s="83" t="s">
        <v>2639</v>
      </c>
      <c r="AM15" s="83"/>
      <c r="AN15" s="83"/>
      <c r="AO15" s="85">
        <v>43978.733657407407</v>
      </c>
      <c r="AP15" s="88" t="str">
        <f>HYPERLINK("https://pbs.twimg.com/profile_banners/1265697723447013378/1594166381")</f>
        <v>https://pbs.twimg.com/profile_banners/1265697723447013378/1594166381</v>
      </c>
      <c r="AQ15" s="83" t="b">
        <v>1</v>
      </c>
      <c r="AR15" s="83" t="b">
        <v>0</v>
      </c>
      <c r="AS15" s="83" t="b">
        <v>0</v>
      </c>
      <c r="AT15" s="83"/>
      <c r="AU15" s="83">
        <v>1</v>
      </c>
      <c r="AV15" s="83"/>
      <c r="AW15" s="83" t="b">
        <v>0</v>
      </c>
      <c r="AX15" s="83" t="s">
        <v>2807</v>
      </c>
      <c r="AY15" s="88" t="str">
        <f>HYPERLINK("https://twitter.com/harrytr02640104")</f>
        <v>https://twitter.com/harrytr02640104</v>
      </c>
      <c r="AZ15" s="83" t="s">
        <v>66</v>
      </c>
      <c r="BA15" s="2"/>
      <c r="BB15" s="3"/>
      <c r="BC15" s="3"/>
      <c r="BD15" s="3"/>
      <c r="BE15" s="3"/>
    </row>
    <row r="16" spans="1:57" x14ac:dyDescent="0.2">
      <c r="A16" s="69" t="s">
        <v>229</v>
      </c>
      <c r="B16" s="70"/>
      <c r="C16" s="70"/>
      <c r="D16" s="71"/>
      <c r="E16" s="73"/>
      <c r="F16" s="109" t="str">
        <f>HYPERLINK("http://pbs.twimg.com/profile_images/716707518194589696/ZJr4qLNR_normal.jpg")</f>
        <v>http://pbs.twimg.com/profile_images/716707518194589696/ZJr4qLNR_normal.jpg</v>
      </c>
      <c r="G16" s="70"/>
      <c r="H16" s="74"/>
      <c r="I16" s="75"/>
      <c r="J16" s="75"/>
      <c r="K16" s="74" t="s">
        <v>2820</v>
      </c>
      <c r="L16" s="78"/>
      <c r="M16" s="79"/>
      <c r="N16" s="79"/>
      <c r="O16" s="80"/>
      <c r="P16" s="81"/>
      <c r="Q16" s="81"/>
      <c r="R16" s="93"/>
      <c r="S16" s="93"/>
      <c r="T16" s="93"/>
      <c r="U16" s="93"/>
      <c r="V16" s="52"/>
      <c r="W16" s="52"/>
      <c r="X16" s="52"/>
      <c r="Y16" s="52"/>
      <c r="Z16" s="51"/>
      <c r="AA16" s="76"/>
      <c r="AB16" s="76"/>
      <c r="AC16" s="77"/>
      <c r="AD16" s="83" t="s">
        <v>1845</v>
      </c>
      <c r="AE16" s="91" t="s">
        <v>2118</v>
      </c>
      <c r="AF16" s="83">
        <v>216</v>
      </c>
      <c r="AG16" s="83">
        <v>86</v>
      </c>
      <c r="AH16" s="83">
        <v>7673</v>
      </c>
      <c r="AI16" s="83">
        <v>366</v>
      </c>
      <c r="AJ16" s="83"/>
      <c r="AK16" s="83" t="s">
        <v>2379</v>
      </c>
      <c r="AL16" s="83" t="s">
        <v>2640</v>
      </c>
      <c r="AM16" s="83"/>
      <c r="AN16" s="83"/>
      <c r="AO16" s="85">
        <v>42463.793773148151</v>
      </c>
      <c r="AP16" s="83"/>
      <c r="AQ16" s="83" t="b">
        <v>1</v>
      </c>
      <c r="AR16" s="83" t="b">
        <v>0</v>
      </c>
      <c r="AS16" s="83" t="b">
        <v>0</v>
      </c>
      <c r="AT16" s="83"/>
      <c r="AU16" s="83">
        <v>4</v>
      </c>
      <c r="AV16" s="83"/>
      <c r="AW16" s="83" t="b">
        <v>0</v>
      </c>
      <c r="AX16" s="83" t="s">
        <v>2807</v>
      </c>
      <c r="AY16" s="88" t="str">
        <f>HYPERLINK("https://twitter.com/bdcc340sb")</f>
        <v>https://twitter.com/bdcc340sb</v>
      </c>
      <c r="AZ16" s="83" t="s">
        <v>66</v>
      </c>
      <c r="BA16" s="2"/>
      <c r="BB16" s="3"/>
      <c r="BC16" s="3"/>
      <c r="BD16" s="3"/>
      <c r="BE16" s="3"/>
    </row>
    <row r="17" spans="1:57" x14ac:dyDescent="0.2">
      <c r="A17" s="69" t="s">
        <v>230</v>
      </c>
      <c r="B17" s="70"/>
      <c r="C17" s="70"/>
      <c r="D17" s="71"/>
      <c r="E17" s="73"/>
      <c r="F17" s="109" t="str">
        <f>HYPERLINK("http://pbs.twimg.com/profile_images/715216498357350400/3qCOSxy8_normal.jpg")</f>
        <v>http://pbs.twimg.com/profile_images/715216498357350400/3qCOSxy8_normal.jpg</v>
      </c>
      <c r="G17" s="70"/>
      <c r="H17" s="74"/>
      <c r="I17" s="75"/>
      <c r="J17" s="75"/>
      <c r="K17" s="74" t="s">
        <v>2821</v>
      </c>
      <c r="L17" s="78"/>
      <c r="M17" s="79"/>
      <c r="N17" s="79"/>
      <c r="O17" s="80"/>
      <c r="P17" s="81"/>
      <c r="Q17" s="81"/>
      <c r="R17" s="93"/>
      <c r="S17" s="93"/>
      <c r="T17" s="93"/>
      <c r="U17" s="93"/>
      <c r="V17" s="52"/>
      <c r="W17" s="52"/>
      <c r="X17" s="52"/>
      <c r="Y17" s="52"/>
      <c r="Z17" s="51"/>
      <c r="AA17" s="76"/>
      <c r="AB17" s="76"/>
      <c r="AC17" s="77"/>
      <c r="AD17" s="83" t="s">
        <v>1846</v>
      </c>
      <c r="AE17" s="91" t="s">
        <v>2119</v>
      </c>
      <c r="AF17" s="83">
        <v>715</v>
      </c>
      <c r="AG17" s="83">
        <v>187</v>
      </c>
      <c r="AH17" s="83">
        <v>15521</v>
      </c>
      <c r="AI17" s="83">
        <v>8629</v>
      </c>
      <c r="AJ17" s="83"/>
      <c r="AK17" s="83" t="s">
        <v>2380</v>
      </c>
      <c r="AL17" s="83" t="s">
        <v>2641</v>
      </c>
      <c r="AM17" s="88" t="str">
        <f>HYPERLINK("https://t.co/1r0bWGGdVK")</f>
        <v>https://t.co/1r0bWGGdVK</v>
      </c>
      <c r="AN17" s="83"/>
      <c r="AO17" s="85">
        <v>41043.742662037039</v>
      </c>
      <c r="AP17" s="88" t="str">
        <f>HYPERLINK("https://pbs.twimg.com/profile_banners/580083983/1429626543")</f>
        <v>https://pbs.twimg.com/profile_banners/580083983/1429626543</v>
      </c>
      <c r="AQ17" s="83" t="b">
        <v>0</v>
      </c>
      <c r="AR17" s="83" t="b">
        <v>0</v>
      </c>
      <c r="AS17" s="83" t="b">
        <v>1</v>
      </c>
      <c r="AT17" s="83"/>
      <c r="AU17" s="83">
        <v>23</v>
      </c>
      <c r="AV17" s="88" t="str">
        <f>HYPERLINK("http://abs.twimg.com/images/themes/theme1/bg.png")</f>
        <v>http://abs.twimg.com/images/themes/theme1/bg.png</v>
      </c>
      <c r="AW17" s="83" t="b">
        <v>0</v>
      </c>
      <c r="AX17" s="83" t="s">
        <v>2807</v>
      </c>
      <c r="AY17" s="88" t="str">
        <f>HYPERLINK("https://twitter.com/borisgonschorek")</f>
        <v>https://twitter.com/borisgonschorek</v>
      </c>
      <c r="AZ17" s="83" t="s">
        <v>66</v>
      </c>
      <c r="BA17" s="2"/>
      <c r="BB17" s="3"/>
      <c r="BC17" s="3"/>
      <c r="BD17" s="3"/>
      <c r="BE17" s="3"/>
    </row>
    <row r="18" spans="1:57" x14ac:dyDescent="0.2">
      <c r="A18" s="69" t="s">
        <v>231</v>
      </c>
      <c r="B18" s="70"/>
      <c r="C18" s="70"/>
      <c r="D18" s="71"/>
      <c r="E18" s="73"/>
      <c r="F18" s="109" t="str">
        <f>HYPERLINK("http://pbs.twimg.com/profile_images/925679816916877312/ina0fMGE_normal.jpg")</f>
        <v>http://pbs.twimg.com/profile_images/925679816916877312/ina0fMGE_normal.jpg</v>
      </c>
      <c r="G18" s="70"/>
      <c r="H18" s="74"/>
      <c r="I18" s="75"/>
      <c r="J18" s="75"/>
      <c r="K18" s="74" t="s">
        <v>2822</v>
      </c>
      <c r="L18" s="78"/>
      <c r="M18" s="79"/>
      <c r="N18" s="79"/>
      <c r="O18" s="80"/>
      <c r="P18" s="81"/>
      <c r="Q18" s="81"/>
      <c r="R18" s="93"/>
      <c r="S18" s="93"/>
      <c r="T18" s="93"/>
      <c r="U18" s="93"/>
      <c r="V18" s="52"/>
      <c r="W18" s="52"/>
      <c r="X18" s="52"/>
      <c r="Y18" s="52"/>
      <c r="Z18" s="51"/>
      <c r="AA18" s="76"/>
      <c r="AB18" s="76"/>
      <c r="AC18" s="77"/>
      <c r="AD18" s="83" t="s">
        <v>1847</v>
      </c>
      <c r="AE18" s="91" t="s">
        <v>2120</v>
      </c>
      <c r="AF18" s="83">
        <v>979</v>
      </c>
      <c r="AG18" s="83">
        <v>735</v>
      </c>
      <c r="AH18" s="83">
        <v>33357</v>
      </c>
      <c r="AI18" s="83">
        <v>1068</v>
      </c>
      <c r="AJ18" s="83"/>
      <c r="AK18" s="83" t="s">
        <v>2381</v>
      </c>
      <c r="AL18" s="83" t="s">
        <v>2642</v>
      </c>
      <c r="AM18" s="88" t="str">
        <f>HYPERLINK("https://t.co/kKCpzo5oxC")</f>
        <v>https://t.co/kKCpzo5oxC</v>
      </c>
      <c r="AN18" s="83"/>
      <c r="AO18" s="85">
        <v>42182.383437500001</v>
      </c>
      <c r="AP18" s="88" t="str">
        <f>HYPERLINK("https://pbs.twimg.com/profile_banners/3257631085/1516760764")</f>
        <v>https://pbs.twimg.com/profile_banners/3257631085/1516760764</v>
      </c>
      <c r="AQ18" s="83" t="b">
        <v>1</v>
      </c>
      <c r="AR18" s="83" t="b">
        <v>0</v>
      </c>
      <c r="AS18" s="83" t="b">
        <v>1</v>
      </c>
      <c r="AT18" s="83"/>
      <c r="AU18" s="83">
        <v>8</v>
      </c>
      <c r="AV18" s="88" t="str">
        <f>HYPERLINK("http://abs.twimg.com/images/themes/theme1/bg.png")</f>
        <v>http://abs.twimg.com/images/themes/theme1/bg.png</v>
      </c>
      <c r="AW18" s="83" t="b">
        <v>0</v>
      </c>
      <c r="AX18" s="83" t="s">
        <v>2807</v>
      </c>
      <c r="AY18" s="88" t="str">
        <f>HYPERLINK("https://twitter.com/gurumwu")</f>
        <v>https://twitter.com/gurumwu</v>
      </c>
      <c r="AZ18" s="83" t="s">
        <v>66</v>
      </c>
      <c r="BA18" s="2"/>
      <c r="BB18" s="3"/>
      <c r="BC18" s="3"/>
      <c r="BD18" s="3"/>
      <c r="BE18" s="3"/>
    </row>
    <row r="19" spans="1:57" x14ac:dyDescent="0.2">
      <c r="A19" s="69" t="s">
        <v>232</v>
      </c>
      <c r="B19" s="70"/>
      <c r="C19" s="70"/>
      <c r="D19" s="71"/>
      <c r="E19" s="73"/>
      <c r="F19" s="109" t="str">
        <f>HYPERLINK("http://pbs.twimg.com/profile_images/1190264509577007104/NoELg3v7_normal.jpg")</f>
        <v>http://pbs.twimg.com/profile_images/1190264509577007104/NoELg3v7_normal.jpg</v>
      </c>
      <c r="G19" s="70"/>
      <c r="H19" s="74"/>
      <c r="I19" s="75"/>
      <c r="J19" s="75"/>
      <c r="K19" s="74" t="s">
        <v>2823</v>
      </c>
      <c r="L19" s="78"/>
      <c r="M19" s="79"/>
      <c r="N19" s="79"/>
      <c r="O19" s="80"/>
      <c r="P19" s="81"/>
      <c r="Q19" s="81"/>
      <c r="R19" s="93"/>
      <c r="S19" s="93"/>
      <c r="T19" s="93"/>
      <c r="U19" s="93"/>
      <c r="V19" s="52"/>
      <c r="W19" s="52"/>
      <c r="X19" s="52"/>
      <c r="Y19" s="52"/>
      <c r="Z19" s="51"/>
      <c r="AA19" s="76"/>
      <c r="AB19" s="76"/>
      <c r="AC19" s="77"/>
      <c r="AD19" s="83" t="s">
        <v>1848</v>
      </c>
      <c r="AE19" s="91" t="s">
        <v>2121</v>
      </c>
      <c r="AF19" s="83">
        <v>103</v>
      </c>
      <c r="AG19" s="83">
        <v>143</v>
      </c>
      <c r="AH19" s="83">
        <v>4458</v>
      </c>
      <c r="AI19" s="83">
        <v>2957</v>
      </c>
      <c r="AJ19" s="83"/>
      <c r="AK19" s="83" t="s">
        <v>2382</v>
      </c>
      <c r="AL19" s="83" t="s">
        <v>2643</v>
      </c>
      <c r="AM19" s="83"/>
      <c r="AN19" s="83"/>
      <c r="AO19" s="85">
        <v>43078.361944444441</v>
      </c>
      <c r="AP19" s="88" t="str">
        <f>HYPERLINK("https://pbs.twimg.com/profile_banners/939414614290284546/1573629996")</f>
        <v>https://pbs.twimg.com/profile_banners/939414614290284546/1573629996</v>
      </c>
      <c r="AQ19" s="83" t="b">
        <v>0</v>
      </c>
      <c r="AR19" s="83" t="b">
        <v>0</v>
      </c>
      <c r="AS19" s="83" t="b">
        <v>0</v>
      </c>
      <c r="AT19" s="83"/>
      <c r="AU19" s="83">
        <v>0</v>
      </c>
      <c r="AV19" s="88" t="str">
        <f>HYPERLINK("http://abs.twimg.com/images/themes/theme1/bg.png")</f>
        <v>http://abs.twimg.com/images/themes/theme1/bg.png</v>
      </c>
      <c r="AW19" s="83" t="b">
        <v>0</v>
      </c>
      <c r="AX19" s="83" t="s">
        <v>2807</v>
      </c>
      <c r="AY19" s="88" t="str">
        <f>HYPERLINK("https://twitter.com/hams1156")</f>
        <v>https://twitter.com/hams1156</v>
      </c>
      <c r="AZ19" s="83" t="s">
        <v>66</v>
      </c>
      <c r="BA19" s="2"/>
      <c r="BB19" s="3"/>
      <c r="BC19" s="3"/>
      <c r="BD19" s="3"/>
      <c r="BE19" s="3"/>
    </row>
    <row r="20" spans="1:57" x14ac:dyDescent="0.2">
      <c r="A20" s="69" t="s">
        <v>233</v>
      </c>
      <c r="B20" s="70"/>
      <c r="C20" s="70"/>
      <c r="D20" s="71"/>
      <c r="E20" s="73"/>
      <c r="F20" s="109" t="str">
        <f>HYPERLINK("http://pbs.twimg.com/profile_images/2969719614/ebe0737ec383f22ddd418f8280903043_normal.jpeg")</f>
        <v>http://pbs.twimg.com/profile_images/2969719614/ebe0737ec383f22ddd418f8280903043_normal.jpeg</v>
      </c>
      <c r="G20" s="70"/>
      <c r="H20" s="74"/>
      <c r="I20" s="75"/>
      <c r="J20" s="75"/>
      <c r="K20" s="74" t="s">
        <v>2824</v>
      </c>
      <c r="L20" s="78"/>
      <c r="M20" s="79"/>
      <c r="N20" s="79"/>
      <c r="O20" s="80"/>
      <c r="P20" s="81"/>
      <c r="Q20" s="81"/>
      <c r="R20" s="93"/>
      <c r="S20" s="93"/>
      <c r="T20" s="93"/>
      <c r="U20" s="93"/>
      <c r="V20" s="52"/>
      <c r="W20" s="52"/>
      <c r="X20" s="52"/>
      <c r="Y20" s="52"/>
      <c r="Z20" s="51"/>
      <c r="AA20" s="76"/>
      <c r="AB20" s="76"/>
      <c r="AC20" s="77"/>
      <c r="AD20" s="83" t="s">
        <v>1849</v>
      </c>
      <c r="AE20" s="91" t="s">
        <v>2122</v>
      </c>
      <c r="AF20" s="83">
        <v>260</v>
      </c>
      <c r="AG20" s="83">
        <v>105</v>
      </c>
      <c r="AH20" s="83">
        <v>1255</v>
      </c>
      <c r="AI20" s="83">
        <v>32662</v>
      </c>
      <c r="AJ20" s="83"/>
      <c r="AK20" s="83" t="s">
        <v>2383</v>
      </c>
      <c r="AL20" s="83" t="s">
        <v>2644</v>
      </c>
      <c r="AM20" s="83"/>
      <c r="AN20" s="83"/>
      <c r="AO20" s="85">
        <v>41003.804131944446</v>
      </c>
      <c r="AP20" s="88" t="str">
        <f>HYPERLINK("https://pbs.twimg.com/profile_banners/545372450/1579797811")</f>
        <v>https://pbs.twimg.com/profile_banners/545372450/1579797811</v>
      </c>
      <c r="AQ20" s="83" t="b">
        <v>1</v>
      </c>
      <c r="AR20" s="83" t="b">
        <v>0</v>
      </c>
      <c r="AS20" s="83" t="b">
        <v>0</v>
      </c>
      <c r="AT20" s="83"/>
      <c r="AU20" s="83">
        <v>2</v>
      </c>
      <c r="AV20" s="88" t="str">
        <f>HYPERLINK("http://abs.twimg.com/images/themes/theme1/bg.png")</f>
        <v>http://abs.twimg.com/images/themes/theme1/bg.png</v>
      </c>
      <c r="AW20" s="83" t="b">
        <v>0</v>
      </c>
      <c r="AX20" s="83" t="s">
        <v>2807</v>
      </c>
      <c r="AY20" s="88" t="str">
        <f>HYPERLINK("https://twitter.com/nebapuri")</f>
        <v>https://twitter.com/nebapuri</v>
      </c>
      <c r="AZ20" s="83" t="s">
        <v>66</v>
      </c>
      <c r="BA20" s="2"/>
      <c r="BB20" s="3"/>
      <c r="BC20" s="3"/>
      <c r="BD20" s="3"/>
      <c r="BE20" s="3"/>
    </row>
    <row r="21" spans="1:57" x14ac:dyDescent="0.2">
      <c r="A21" s="69" t="s">
        <v>234</v>
      </c>
      <c r="B21" s="70"/>
      <c r="C21" s="70"/>
      <c r="D21" s="71"/>
      <c r="E21" s="73"/>
      <c r="F21" s="109" t="str">
        <f>HYPERLINK("http://pbs.twimg.com/profile_images/768643428322189312/DxmJrajh_normal.jpg")</f>
        <v>http://pbs.twimg.com/profile_images/768643428322189312/DxmJrajh_normal.jpg</v>
      </c>
      <c r="G21" s="70"/>
      <c r="H21" s="74"/>
      <c r="I21" s="75"/>
      <c r="J21" s="75"/>
      <c r="K21" s="74" t="s">
        <v>2825</v>
      </c>
      <c r="L21" s="78"/>
      <c r="M21" s="79"/>
      <c r="N21" s="79"/>
      <c r="O21" s="80"/>
      <c r="P21" s="81"/>
      <c r="Q21" s="81"/>
      <c r="R21" s="93"/>
      <c r="S21" s="93"/>
      <c r="T21" s="93"/>
      <c r="U21" s="93"/>
      <c r="V21" s="52"/>
      <c r="W21" s="52"/>
      <c r="X21" s="52"/>
      <c r="Y21" s="52"/>
      <c r="Z21" s="51"/>
      <c r="AA21" s="76"/>
      <c r="AB21" s="76"/>
      <c r="AC21" s="77"/>
      <c r="AD21" s="83" t="s">
        <v>1850</v>
      </c>
      <c r="AE21" s="91" t="s">
        <v>2123</v>
      </c>
      <c r="AF21" s="83">
        <v>329</v>
      </c>
      <c r="AG21" s="83">
        <v>32</v>
      </c>
      <c r="AH21" s="83">
        <v>211</v>
      </c>
      <c r="AI21" s="83">
        <v>51</v>
      </c>
      <c r="AJ21" s="83"/>
      <c r="AK21" s="83" t="s">
        <v>2384</v>
      </c>
      <c r="AL21" s="83" t="s">
        <v>2645</v>
      </c>
      <c r="AM21" s="83"/>
      <c r="AN21" s="83"/>
      <c r="AO21" s="85">
        <v>41352.737962962965</v>
      </c>
      <c r="AP21" s="88" t="str">
        <f>HYPERLINK("https://pbs.twimg.com/profile_banners/1281061477/1472093730")</f>
        <v>https://pbs.twimg.com/profile_banners/1281061477/1472093730</v>
      </c>
      <c r="AQ21" s="83" t="b">
        <v>0</v>
      </c>
      <c r="AR21" s="83" t="b">
        <v>0</v>
      </c>
      <c r="AS21" s="83" t="b">
        <v>1</v>
      </c>
      <c r="AT21" s="83"/>
      <c r="AU21" s="83">
        <v>1</v>
      </c>
      <c r="AV21" s="88" t="str">
        <f>HYPERLINK("http://abs.twimg.com/images/themes/theme1/bg.png")</f>
        <v>http://abs.twimg.com/images/themes/theme1/bg.png</v>
      </c>
      <c r="AW21" s="83" t="b">
        <v>0</v>
      </c>
      <c r="AX21" s="83" t="s">
        <v>2807</v>
      </c>
      <c r="AY21" s="88" t="str">
        <f>HYPERLINK("https://twitter.com/gusra69")</f>
        <v>https://twitter.com/gusra69</v>
      </c>
      <c r="AZ21" s="83" t="s">
        <v>66</v>
      </c>
      <c r="BA21" s="2"/>
      <c r="BB21" s="3"/>
      <c r="BC21" s="3"/>
      <c r="BD21" s="3"/>
      <c r="BE21" s="3"/>
    </row>
    <row r="22" spans="1:57" x14ac:dyDescent="0.2">
      <c r="A22" s="69" t="s">
        <v>464</v>
      </c>
      <c r="B22" s="70"/>
      <c r="C22" s="70"/>
      <c r="D22" s="71"/>
      <c r="E22" s="73"/>
      <c r="F22" s="109" t="str">
        <f>HYPERLINK("http://pbs.twimg.com/profile_images/1272904750615465984/bDoWCGHV_normal.jpg")</f>
        <v>http://pbs.twimg.com/profile_images/1272904750615465984/bDoWCGHV_normal.jpg</v>
      </c>
      <c r="G22" s="70"/>
      <c r="H22" s="74"/>
      <c r="I22" s="75"/>
      <c r="J22" s="75"/>
      <c r="K22" s="74" t="s">
        <v>2826</v>
      </c>
      <c r="L22" s="78"/>
      <c r="M22" s="79"/>
      <c r="N22" s="79"/>
      <c r="O22" s="80"/>
      <c r="P22" s="81"/>
      <c r="Q22" s="81"/>
      <c r="R22" s="93"/>
      <c r="S22" s="93"/>
      <c r="T22" s="93"/>
      <c r="U22" s="93"/>
      <c r="V22" s="52"/>
      <c r="W22" s="52"/>
      <c r="X22" s="52"/>
      <c r="Y22" s="52"/>
      <c r="Z22" s="51"/>
      <c r="AA22" s="76"/>
      <c r="AB22" s="76"/>
      <c r="AC22" s="77"/>
      <c r="AD22" s="83" t="s">
        <v>1851</v>
      </c>
      <c r="AE22" s="91" t="s">
        <v>2124</v>
      </c>
      <c r="AF22" s="83">
        <v>77</v>
      </c>
      <c r="AG22" s="83">
        <v>965763</v>
      </c>
      <c r="AH22" s="83">
        <v>1490</v>
      </c>
      <c r="AI22" s="83">
        <v>1104</v>
      </c>
      <c r="AJ22" s="83"/>
      <c r="AK22" s="83" t="s">
        <v>2385</v>
      </c>
      <c r="AL22" s="83" t="s">
        <v>2646</v>
      </c>
      <c r="AM22" s="88" t="str">
        <f>HYPERLINK("http://t.co/P2FlMokjy2")</f>
        <v>http://t.co/P2FlMokjy2</v>
      </c>
      <c r="AN22" s="83"/>
      <c r="AO22" s="85">
        <v>41100.068310185183</v>
      </c>
      <c r="AP22" s="88" t="str">
        <f>HYPERLINK("https://pbs.twimg.com/profile_banners/631577690/1529440773")</f>
        <v>https://pbs.twimg.com/profile_banners/631577690/1529440773</v>
      </c>
      <c r="AQ22" s="83" t="b">
        <v>0</v>
      </c>
      <c r="AR22" s="83" t="b">
        <v>0</v>
      </c>
      <c r="AS22" s="83" t="b">
        <v>1</v>
      </c>
      <c r="AT22" s="83"/>
      <c r="AU22" s="83">
        <v>1897</v>
      </c>
      <c r="AV22" s="88" t="str">
        <f>HYPERLINK("http://abs.twimg.com/images/themes/theme14/bg.gif")</f>
        <v>http://abs.twimg.com/images/themes/theme14/bg.gif</v>
      </c>
      <c r="AW22" s="83" t="b">
        <v>1</v>
      </c>
      <c r="AX22" s="83" t="s">
        <v>2807</v>
      </c>
      <c r="AY22" s="88" t="str">
        <f>HYPERLINK("https://twitter.com/nianticlabs")</f>
        <v>https://twitter.com/nianticlabs</v>
      </c>
      <c r="AZ22" s="83" t="s">
        <v>65</v>
      </c>
      <c r="BA22" s="2"/>
      <c r="BB22" s="3"/>
      <c r="BC22" s="3"/>
      <c r="BD22" s="3"/>
      <c r="BE22" s="3"/>
    </row>
    <row r="23" spans="1:57" x14ac:dyDescent="0.2">
      <c r="A23" s="69" t="s">
        <v>465</v>
      </c>
      <c r="B23" s="70"/>
      <c r="C23" s="70"/>
      <c r="D23" s="71"/>
      <c r="E23" s="73"/>
      <c r="F23" s="109" t="str">
        <f>HYPERLINK("http://pbs.twimg.com/profile_images/1121581784871759873/mn1VfEmi_normal.jpg")</f>
        <v>http://pbs.twimg.com/profile_images/1121581784871759873/mn1VfEmi_normal.jpg</v>
      </c>
      <c r="G23" s="70"/>
      <c r="H23" s="74"/>
      <c r="I23" s="75"/>
      <c r="J23" s="75"/>
      <c r="K23" s="74" t="s">
        <v>2827</v>
      </c>
      <c r="L23" s="78"/>
      <c r="M23" s="79"/>
      <c r="N23" s="79"/>
      <c r="O23" s="80"/>
      <c r="P23" s="81"/>
      <c r="Q23" s="81"/>
      <c r="R23" s="93"/>
      <c r="S23" s="93"/>
      <c r="T23" s="93"/>
      <c r="U23" s="93"/>
      <c r="V23" s="52"/>
      <c r="W23" s="52"/>
      <c r="X23" s="52"/>
      <c r="Y23" s="52"/>
      <c r="Z23" s="51"/>
      <c r="AA23" s="76"/>
      <c r="AB23" s="76"/>
      <c r="AC23" s="77"/>
      <c r="AD23" s="83" t="s">
        <v>1852</v>
      </c>
      <c r="AE23" s="91" t="s">
        <v>1736</v>
      </c>
      <c r="AF23" s="83">
        <v>3346</v>
      </c>
      <c r="AG23" s="83">
        <v>270845</v>
      </c>
      <c r="AH23" s="83">
        <v>47421</v>
      </c>
      <c r="AI23" s="83">
        <v>1220</v>
      </c>
      <c r="AJ23" s="83"/>
      <c r="AK23" s="83" t="s">
        <v>2386</v>
      </c>
      <c r="AL23" s="83" t="s">
        <v>2647</v>
      </c>
      <c r="AM23" s="88" t="str">
        <f>HYPERLINK("https://t.co/P2FlMo2IGu")</f>
        <v>https://t.co/P2FlMo2IGu</v>
      </c>
      <c r="AN23" s="83"/>
      <c r="AO23" s="85">
        <v>42829.814664351848</v>
      </c>
      <c r="AP23" s="88" t="str">
        <f>HYPERLINK("https://pbs.twimg.com/profile_banners/849344094681870336/1530305941")</f>
        <v>https://pbs.twimg.com/profile_banners/849344094681870336/1530305941</v>
      </c>
      <c r="AQ23" s="83" t="b">
        <v>1</v>
      </c>
      <c r="AR23" s="83" t="b">
        <v>0</v>
      </c>
      <c r="AS23" s="83" t="b">
        <v>0</v>
      </c>
      <c r="AT23" s="83"/>
      <c r="AU23" s="83">
        <v>876</v>
      </c>
      <c r="AV23" s="83"/>
      <c r="AW23" s="83" t="b">
        <v>1</v>
      </c>
      <c r="AX23" s="83" t="s">
        <v>2807</v>
      </c>
      <c r="AY23" s="88" t="str">
        <f>HYPERLINK("https://twitter.com/niantichelp")</f>
        <v>https://twitter.com/niantichelp</v>
      </c>
      <c r="AZ23" s="83" t="s">
        <v>65</v>
      </c>
      <c r="BA23" s="2"/>
      <c r="BB23" s="3"/>
      <c r="BC23" s="3"/>
      <c r="BD23" s="3"/>
      <c r="BE23" s="3"/>
    </row>
    <row r="24" spans="1:57" x14ac:dyDescent="0.2">
      <c r="A24" s="69" t="s">
        <v>235</v>
      </c>
      <c r="B24" s="70"/>
      <c r="C24" s="70"/>
      <c r="D24" s="71"/>
      <c r="E24" s="73"/>
      <c r="F24" s="109" t="str">
        <f>HYPERLINK("http://pbs.twimg.com/profile_images/1088806765381148672/noFYAVX1_normal.jpg")</f>
        <v>http://pbs.twimg.com/profile_images/1088806765381148672/noFYAVX1_normal.jpg</v>
      </c>
      <c r="G24" s="70"/>
      <c r="H24" s="74"/>
      <c r="I24" s="75"/>
      <c r="J24" s="75"/>
      <c r="K24" s="74" t="s">
        <v>2828</v>
      </c>
      <c r="L24" s="78"/>
      <c r="M24" s="79"/>
      <c r="N24" s="79"/>
      <c r="O24" s="80"/>
      <c r="P24" s="81"/>
      <c r="Q24" s="81"/>
      <c r="R24" s="93"/>
      <c r="S24" s="93"/>
      <c r="T24" s="93"/>
      <c r="U24" s="93"/>
      <c r="V24" s="52"/>
      <c r="W24" s="52"/>
      <c r="X24" s="52"/>
      <c r="Y24" s="52"/>
      <c r="Z24" s="51"/>
      <c r="AA24" s="76"/>
      <c r="AB24" s="76"/>
      <c r="AC24" s="77"/>
      <c r="AD24" s="83" t="s">
        <v>1853</v>
      </c>
      <c r="AE24" s="91" t="s">
        <v>2125</v>
      </c>
      <c r="AF24" s="83">
        <v>198</v>
      </c>
      <c r="AG24" s="83">
        <v>136</v>
      </c>
      <c r="AH24" s="83">
        <v>471</v>
      </c>
      <c r="AI24" s="83">
        <v>1497</v>
      </c>
      <c r="AJ24" s="83"/>
      <c r="AK24" s="83" t="s">
        <v>2387</v>
      </c>
      <c r="AL24" s="83" t="s">
        <v>2648</v>
      </c>
      <c r="AM24" s="83"/>
      <c r="AN24" s="83"/>
      <c r="AO24" s="85">
        <v>43490.605231481481</v>
      </c>
      <c r="AP24" s="88" t="str">
        <f>HYPERLINK("https://pbs.twimg.com/profile_banners/1088806580169039872/1579005558")</f>
        <v>https://pbs.twimg.com/profile_banners/1088806580169039872/1579005558</v>
      </c>
      <c r="AQ24" s="83" t="b">
        <v>1</v>
      </c>
      <c r="AR24" s="83" t="b">
        <v>0</v>
      </c>
      <c r="AS24" s="83" t="b">
        <v>1</v>
      </c>
      <c r="AT24" s="83"/>
      <c r="AU24" s="83">
        <v>3</v>
      </c>
      <c r="AV24" s="83"/>
      <c r="AW24" s="83" t="b">
        <v>0</v>
      </c>
      <c r="AX24" s="83" t="s">
        <v>2807</v>
      </c>
      <c r="AY24" s="88" t="str">
        <f>HYPERLINK("https://twitter.com/funkrollin_enl")</f>
        <v>https://twitter.com/funkrollin_enl</v>
      </c>
      <c r="AZ24" s="83" t="s">
        <v>66</v>
      </c>
      <c r="BA24" s="2"/>
      <c r="BB24" s="3"/>
      <c r="BC24" s="3"/>
      <c r="BD24" s="3"/>
      <c r="BE24" s="3"/>
    </row>
    <row r="25" spans="1:57" x14ac:dyDescent="0.2">
      <c r="A25" s="69" t="s">
        <v>236</v>
      </c>
      <c r="B25" s="70"/>
      <c r="C25" s="70"/>
      <c r="D25" s="71"/>
      <c r="E25" s="73"/>
      <c r="F25" s="109" t="str">
        <f>HYPERLINK("http://pbs.twimg.com/profile_images/1254293723321495552/oqJAzkl-_normal.jpg")</f>
        <v>http://pbs.twimg.com/profile_images/1254293723321495552/oqJAzkl-_normal.jpg</v>
      </c>
      <c r="G25" s="70"/>
      <c r="H25" s="74"/>
      <c r="I25" s="75"/>
      <c r="J25" s="75"/>
      <c r="K25" s="74" t="s">
        <v>2829</v>
      </c>
      <c r="L25" s="78"/>
      <c r="M25" s="79"/>
      <c r="N25" s="79"/>
      <c r="O25" s="80"/>
      <c r="P25" s="81"/>
      <c r="Q25" s="81"/>
      <c r="R25" s="93"/>
      <c r="S25" s="93"/>
      <c r="T25" s="93"/>
      <c r="U25" s="93"/>
      <c r="V25" s="52"/>
      <c r="W25" s="52"/>
      <c r="X25" s="52"/>
      <c r="Y25" s="52"/>
      <c r="Z25" s="51"/>
      <c r="AA25" s="76"/>
      <c r="AB25" s="76"/>
      <c r="AC25" s="77"/>
      <c r="AD25" s="83" t="s">
        <v>1854</v>
      </c>
      <c r="AE25" s="91" t="s">
        <v>2126</v>
      </c>
      <c r="AF25" s="83">
        <v>29</v>
      </c>
      <c r="AG25" s="83">
        <v>48</v>
      </c>
      <c r="AH25" s="83">
        <v>1086</v>
      </c>
      <c r="AI25" s="83">
        <v>316</v>
      </c>
      <c r="AJ25" s="83"/>
      <c r="AK25" s="83" t="s">
        <v>2388</v>
      </c>
      <c r="AL25" s="83" t="s">
        <v>2649</v>
      </c>
      <c r="AM25" s="88" t="str">
        <f>HYPERLINK("https://t.co/Gf3I5eSDBF")</f>
        <v>https://t.co/Gf3I5eSDBF</v>
      </c>
      <c r="AN25" s="83"/>
      <c r="AO25" s="85">
        <v>42792.618379629632</v>
      </c>
      <c r="AP25" s="88" t="str">
        <f>HYPERLINK("https://pbs.twimg.com/profile_banners/835864612801163264/1558703423")</f>
        <v>https://pbs.twimg.com/profile_banners/835864612801163264/1558703423</v>
      </c>
      <c r="AQ25" s="83" t="b">
        <v>1</v>
      </c>
      <c r="AR25" s="83" t="b">
        <v>0</v>
      </c>
      <c r="AS25" s="83" t="b">
        <v>0</v>
      </c>
      <c r="AT25" s="83"/>
      <c r="AU25" s="83">
        <v>1</v>
      </c>
      <c r="AV25" s="83"/>
      <c r="AW25" s="83" t="b">
        <v>0</v>
      </c>
      <c r="AX25" s="83" t="s">
        <v>2807</v>
      </c>
      <c r="AY25" s="88" t="str">
        <f>HYPERLINK("https://twitter.com/polecatgo")</f>
        <v>https://twitter.com/polecatgo</v>
      </c>
      <c r="AZ25" s="83" t="s">
        <v>66</v>
      </c>
      <c r="BA25" s="2"/>
      <c r="BB25" s="3"/>
      <c r="BC25" s="3"/>
      <c r="BD25" s="3"/>
      <c r="BE25" s="3"/>
    </row>
    <row r="26" spans="1:57" x14ac:dyDescent="0.2">
      <c r="A26" s="69" t="s">
        <v>237</v>
      </c>
      <c r="B26" s="70"/>
      <c r="C26" s="70"/>
      <c r="D26" s="71"/>
      <c r="E26" s="73"/>
      <c r="F26" s="109" t="str">
        <f>HYPERLINK("http://pbs.twimg.com/profile_images/1240933239872614400/AP3-eKuT_normal.jpg")</f>
        <v>http://pbs.twimg.com/profile_images/1240933239872614400/AP3-eKuT_normal.jpg</v>
      </c>
      <c r="G26" s="70"/>
      <c r="H26" s="74"/>
      <c r="I26" s="75"/>
      <c r="J26" s="75"/>
      <c r="K26" s="74" t="s">
        <v>2830</v>
      </c>
      <c r="L26" s="78"/>
      <c r="M26" s="79"/>
      <c r="N26" s="79"/>
      <c r="O26" s="80"/>
      <c r="P26" s="81"/>
      <c r="Q26" s="81"/>
      <c r="R26" s="93"/>
      <c r="S26" s="93"/>
      <c r="T26" s="93"/>
      <c r="U26" s="93"/>
      <c r="V26" s="52"/>
      <c r="W26" s="52"/>
      <c r="X26" s="52"/>
      <c r="Y26" s="52"/>
      <c r="Z26" s="51"/>
      <c r="AA26" s="76"/>
      <c r="AB26" s="76"/>
      <c r="AC26" s="77"/>
      <c r="AD26" s="83" t="s">
        <v>1855</v>
      </c>
      <c r="AE26" s="91" t="s">
        <v>2127</v>
      </c>
      <c r="AF26" s="83">
        <v>269</v>
      </c>
      <c r="AG26" s="83">
        <v>70</v>
      </c>
      <c r="AH26" s="83">
        <v>1149</v>
      </c>
      <c r="AI26" s="83">
        <v>3513</v>
      </c>
      <c r="AJ26" s="83"/>
      <c r="AK26" s="83" t="s">
        <v>2389</v>
      </c>
      <c r="AL26" s="83"/>
      <c r="AM26" s="83"/>
      <c r="AN26" s="83"/>
      <c r="AO26" s="85">
        <v>40477.546400462961</v>
      </c>
      <c r="AP26" s="88" t="str">
        <f>HYPERLINK("https://pbs.twimg.com/profile_banners/208005358/1574567929")</f>
        <v>https://pbs.twimg.com/profile_banners/208005358/1574567929</v>
      </c>
      <c r="AQ26" s="83" t="b">
        <v>1</v>
      </c>
      <c r="AR26" s="83" t="b">
        <v>0</v>
      </c>
      <c r="AS26" s="83" t="b">
        <v>1</v>
      </c>
      <c r="AT26" s="83"/>
      <c r="AU26" s="83">
        <v>1</v>
      </c>
      <c r="AV26" s="88" t="str">
        <f>HYPERLINK("http://abs.twimg.com/images/themes/theme1/bg.png")</f>
        <v>http://abs.twimg.com/images/themes/theme1/bg.png</v>
      </c>
      <c r="AW26" s="83" t="b">
        <v>0</v>
      </c>
      <c r="AX26" s="83" t="s">
        <v>2807</v>
      </c>
      <c r="AY26" s="88" t="str">
        <f>HYPERLINK("https://twitter.com/yossie0007")</f>
        <v>https://twitter.com/yossie0007</v>
      </c>
      <c r="AZ26" s="83" t="s">
        <v>66</v>
      </c>
      <c r="BA26" s="2"/>
      <c r="BB26" s="3"/>
      <c r="BC26" s="3"/>
      <c r="BD26" s="3"/>
      <c r="BE26" s="3"/>
    </row>
    <row r="27" spans="1:57" x14ac:dyDescent="0.2">
      <c r="A27" s="69" t="s">
        <v>238</v>
      </c>
      <c r="B27" s="70"/>
      <c r="C27" s="70"/>
      <c r="D27" s="71"/>
      <c r="E27" s="73"/>
      <c r="F27" s="109" t="str">
        <f>HYPERLINK("http://pbs.twimg.com/profile_images/1167383460320690176/JclkY1eE_normal.jpg")</f>
        <v>http://pbs.twimg.com/profile_images/1167383460320690176/JclkY1eE_normal.jpg</v>
      </c>
      <c r="G27" s="70"/>
      <c r="H27" s="74"/>
      <c r="I27" s="75"/>
      <c r="J27" s="75"/>
      <c r="K27" s="74" t="s">
        <v>2831</v>
      </c>
      <c r="L27" s="78"/>
      <c r="M27" s="79"/>
      <c r="N27" s="79"/>
      <c r="O27" s="80"/>
      <c r="P27" s="81"/>
      <c r="Q27" s="81"/>
      <c r="R27" s="93"/>
      <c r="S27" s="93"/>
      <c r="T27" s="93"/>
      <c r="U27" s="93"/>
      <c r="V27" s="52"/>
      <c r="W27" s="52"/>
      <c r="X27" s="52"/>
      <c r="Y27" s="52"/>
      <c r="Z27" s="51"/>
      <c r="AA27" s="76"/>
      <c r="AB27" s="76"/>
      <c r="AC27" s="77"/>
      <c r="AD27" s="83" t="s">
        <v>1856</v>
      </c>
      <c r="AE27" s="91" t="s">
        <v>2128</v>
      </c>
      <c r="AF27" s="83">
        <v>164</v>
      </c>
      <c r="AG27" s="83">
        <v>133</v>
      </c>
      <c r="AH27" s="83">
        <v>928</v>
      </c>
      <c r="AI27" s="83">
        <v>5342</v>
      </c>
      <c r="AJ27" s="83"/>
      <c r="AK27" s="83" t="s">
        <v>2390</v>
      </c>
      <c r="AL27" s="83" t="s">
        <v>2650</v>
      </c>
      <c r="AM27" s="83"/>
      <c r="AN27" s="83"/>
      <c r="AO27" s="85">
        <v>43449.591053240743</v>
      </c>
      <c r="AP27" s="83"/>
      <c r="AQ27" s="83" t="b">
        <v>1</v>
      </c>
      <c r="AR27" s="83" t="b">
        <v>0</v>
      </c>
      <c r="AS27" s="83" t="b">
        <v>1</v>
      </c>
      <c r="AT27" s="83"/>
      <c r="AU27" s="83">
        <v>1</v>
      </c>
      <c r="AV27" s="83"/>
      <c r="AW27" s="83" t="b">
        <v>0</v>
      </c>
      <c r="AX27" s="83" t="s">
        <v>2807</v>
      </c>
      <c r="AY27" s="88" t="str">
        <f>HYPERLINK("https://twitter.com/kestrelman0122")</f>
        <v>https://twitter.com/kestrelman0122</v>
      </c>
      <c r="AZ27" s="83" t="s">
        <v>66</v>
      </c>
      <c r="BA27" s="2"/>
      <c r="BB27" s="3"/>
      <c r="BC27" s="3"/>
      <c r="BD27" s="3"/>
      <c r="BE27" s="3"/>
    </row>
    <row r="28" spans="1:57" x14ac:dyDescent="0.2">
      <c r="A28" s="69" t="s">
        <v>239</v>
      </c>
      <c r="B28" s="70"/>
      <c r="C28" s="70"/>
      <c r="D28" s="71"/>
      <c r="E28" s="73"/>
      <c r="F28" s="109" t="str">
        <f>HYPERLINK("http://pbs.twimg.com/profile_images/1097394491567235072/UioqA4TG_normal.png")</f>
        <v>http://pbs.twimg.com/profile_images/1097394491567235072/UioqA4TG_normal.png</v>
      </c>
      <c r="G28" s="70"/>
      <c r="H28" s="74"/>
      <c r="I28" s="75"/>
      <c r="J28" s="75"/>
      <c r="K28" s="74" t="s">
        <v>2832</v>
      </c>
      <c r="L28" s="78"/>
      <c r="M28" s="79"/>
      <c r="N28" s="79"/>
      <c r="O28" s="80"/>
      <c r="P28" s="81"/>
      <c r="Q28" s="81"/>
      <c r="R28" s="93"/>
      <c r="S28" s="93"/>
      <c r="T28" s="93"/>
      <c r="U28" s="93"/>
      <c r="V28" s="52"/>
      <c r="W28" s="52"/>
      <c r="X28" s="52"/>
      <c r="Y28" s="52"/>
      <c r="Z28" s="51"/>
      <c r="AA28" s="76"/>
      <c r="AB28" s="76"/>
      <c r="AC28" s="77"/>
      <c r="AD28" s="83" t="s">
        <v>1857</v>
      </c>
      <c r="AE28" s="91" t="s">
        <v>2129</v>
      </c>
      <c r="AF28" s="83">
        <v>148</v>
      </c>
      <c r="AG28" s="83">
        <v>125</v>
      </c>
      <c r="AH28" s="83">
        <v>633</v>
      </c>
      <c r="AI28" s="83">
        <v>2031</v>
      </c>
      <c r="AJ28" s="83"/>
      <c r="AK28" s="83" t="s">
        <v>2391</v>
      </c>
      <c r="AL28" s="83" t="s">
        <v>2651</v>
      </c>
      <c r="AM28" s="83"/>
      <c r="AN28" s="83"/>
      <c r="AO28" s="85">
        <v>43514.302905092591</v>
      </c>
      <c r="AP28" s="83"/>
      <c r="AQ28" s="83" t="b">
        <v>0</v>
      </c>
      <c r="AR28" s="83" t="b">
        <v>0</v>
      </c>
      <c r="AS28" s="83" t="b">
        <v>0</v>
      </c>
      <c r="AT28" s="83"/>
      <c r="AU28" s="83">
        <v>1</v>
      </c>
      <c r="AV28" s="88" t="str">
        <f>HYPERLINK("http://abs.twimg.com/images/themes/theme1/bg.png")</f>
        <v>http://abs.twimg.com/images/themes/theme1/bg.png</v>
      </c>
      <c r="AW28" s="83" t="b">
        <v>0</v>
      </c>
      <c r="AX28" s="83" t="s">
        <v>2807</v>
      </c>
      <c r="AY28" s="88" t="str">
        <f>HYPERLINK("https://twitter.com/leon30006310")</f>
        <v>https://twitter.com/leon30006310</v>
      </c>
      <c r="AZ28" s="83" t="s">
        <v>66</v>
      </c>
      <c r="BA28" s="2"/>
      <c r="BB28" s="3"/>
      <c r="BC28" s="3"/>
      <c r="BD28" s="3"/>
      <c r="BE28" s="3"/>
    </row>
    <row r="29" spans="1:57" x14ac:dyDescent="0.2">
      <c r="A29" s="69" t="s">
        <v>409</v>
      </c>
      <c r="B29" s="70"/>
      <c r="C29" s="70"/>
      <c r="D29" s="71"/>
      <c r="E29" s="73"/>
      <c r="F29" s="109" t="str">
        <f>HYPERLINK("http://pbs.twimg.com/profile_images/1236668333157519361/R8t7DbMO_normal.jpg")</f>
        <v>http://pbs.twimg.com/profile_images/1236668333157519361/R8t7DbMO_normal.jpg</v>
      </c>
      <c r="G29" s="70"/>
      <c r="H29" s="74"/>
      <c r="I29" s="75"/>
      <c r="J29" s="75"/>
      <c r="K29" s="74" t="s">
        <v>2833</v>
      </c>
      <c r="L29" s="78"/>
      <c r="M29" s="79"/>
      <c r="N29" s="79"/>
      <c r="O29" s="80"/>
      <c r="P29" s="81"/>
      <c r="Q29" s="81"/>
      <c r="R29" s="93"/>
      <c r="S29" s="93"/>
      <c r="T29" s="93"/>
      <c r="U29" s="93"/>
      <c r="V29" s="52"/>
      <c r="W29" s="52"/>
      <c r="X29" s="52"/>
      <c r="Y29" s="52"/>
      <c r="Z29" s="51"/>
      <c r="AA29" s="76"/>
      <c r="AB29" s="76"/>
      <c r="AC29" s="77"/>
      <c r="AD29" s="83" t="s">
        <v>1858</v>
      </c>
      <c r="AE29" s="91" t="s">
        <v>1740</v>
      </c>
      <c r="AF29" s="83">
        <v>538</v>
      </c>
      <c r="AG29" s="83">
        <v>740</v>
      </c>
      <c r="AH29" s="83">
        <v>10587</v>
      </c>
      <c r="AI29" s="83">
        <v>35912</v>
      </c>
      <c r="AJ29" s="83"/>
      <c r="AK29" s="83" t="s">
        <v>2392</v>
      </c>
      <c r="AL29" s="83" t="s">
        <v>2652</v>
      </c>
      <c r="AM29" s="83"/>
      <c r="AN29" s="83"/>
      <c r="AO29" s="85">
        <v>43490.095486111109</v>
      </c>
      <c r="AP29" s="88" t="str">
        <f>HYPERLINK("https://pbs.twimg.com/profile_banners/1088621856045772800/1591017130")</f>
        <v>https://pbs.twimg.com/profile_banners/1088621856045772800/1591017130</v>
      </c>
      <c r="AQ29" s="83" t="b">
        <v>0</v>
      </c>
      <c r="AR29" s="83" t="b">
        <v>0</v>
      </c>
      <c r="AS29" s="83" t="b">
        <v>1</v>
      </c>
      <c r="AT29" s="83"/>
      <c r="AU29" s="83">
        <v>16</v>
      </c>
      <c r="AV29" s="88" t="str">
        <f>HYPERLINK("http://abs.twimg.com/images/themes/theme1/bg.png")</f>
        <v>http://abs.twimg.com/images/themes/theme1/bg.png</v>
      </c>
      <c r="AW29" s="83" t="b">
        <v>0</v>
      </c>
      <c r="AX29" s="83" t="s">
        <v>2807</v>
      </c>
      <c r="AY29" s="88" t="str">
        <f>HYPERLINK("https://twitter.com/sinxsan")</f>
        <v>https://twitter.com/sinxsan</v>
      </c>
      <c r="AZ29" s="83" t="s">
        <v>66</v>
      </c>
      <c r="BA29" s="2"/>
      <c r="BB29" s="3"/>
      <c r="BC29" s="3"/>
      <c r="BD29" s="3"/>
      <c r="BE29" s="3"/>
    </row>
    <row r="30" spans="1:57" x14ac:dyDescent="0.2">
      <c r="A30" s="69" t="s">
        <v>240</v>
      </c>
      <c r="B30" s="70"/>
      <c r="C30" s="70"/>
      <c r="D30" s="71"/>
      <c r="E30" s="73"/>
      <c r="F30" s="109" t="str">
        <f>HYPERLINK("http://pbs.twimg.com/profile_images/1272517107574587392/ihjBKdaT_normal.jpg")</f>
        <v>http://pbs.twimg.com/profile_images/1272517107574587392/ihjBKdaT_normal.jpg</v>
      </c>
      <c r="G30" s="70"/>
      <c r="H30" s="74"/>
      <c r="I30" s="75"/>
      <c r="J30" s="75"/>
      <c r="K30" s="74" t="s">
        <v>2834</v>
      </c>
      <c r="L30" s="78"/>
      <c r="M30" s="79"/>
      <c r="N30" s="79"/>
      <c r="O30" s="80"/>
      <c r="P30" s="81"/>
      <c r="Q30" s="81"/>
      <c r="R30" s="93"/>
      <c r="S30" s="93"/>
      <c r="T30" s="93"/>
      <c r="U30" s="93"/>
      <c r="V30" s="52"/>
      <c r="W30" s="52"/>
      <c r="X30" s="52"/>
      <c r="Y30" s="52"/>
      <c r="Z30" s="51"/>
      <c r="AA30" s="76"/>
      <c r="AB30" s="76"/>
      <c r="AC30" s="77"/>
      <c r="AD30" s="83" t="s">
        <v>1859</v>
      </c>
      <c r="AE30" s="91" t="s">
        <v>2130</v>
      </c>
      <c r="AF30" s="83">
        <v>2236</v>
      </c>
      <c r="AG30" s="83">
        <v>368</v>
      </c>
      <c r="AH30" s="83">
        <v>8041</v>
      </c>
      <c r="AI30" s="83">
        <v>40977</v>
      </c>
      <c r="AJ30" s="83"/>
      <c r="AK30" s="83"/>
      <c r="AL30" s="83" t="s">
        <v>2653</v>
      </c>
      <c r="AM30" s="83"/>
      <c r="AN30" s="83"/>
      <c r="AO30" s="85">
        <v>42186.740740740737</v>
      </c>
      <c r="AP30" s="88" t="str">
        <f>HYPERLINK("https://pbs.twimg.com/profile_banners/3353527907/1592877201")</f>
        <v>https://pbs.twimg.com/profile_banners/3353527907/1592877201</v>
      </c>
      <c r="AQ30" s="83" t="b">
        <v>0</v>
      </c>
      <c r="AR30" s="83" t="b">
        <v>0</v>
      </c>
      <c r="AS30" s="83" t="b">
        <v>1</v>
      </c>
      <c r="AT30" s="83"/>
      <c r="AU30" s="83">
        <v>4</v>
      </c>
      <c r="AV30" s="88" t="str">
        <f>HYPERLINK("http://abs.twimg.com/images/themes/theme1/bg.png")</f>
        <v>http://abs.twimg.com/images/themes/theme1/bg.png</v>
      </c>
      <c r="AW30" s="83" t="b">
        <v>0</v>
      </c>
      <c r="AX30" s="83" t="s">
        <v>2807</v>
      </c>
      <c r="AY30" s="88" t="str">
        <f>HYPERLINK("https://twitter.com/carolsierra12")</f>
        <v>https://twitter.com/carolsierra12</v>
      </c>
      <c r="AZ30" s="83" t="s">
        <v>66</v>
      </c>
      <c r="BA30" s="2"/>
      <c r="BB30" s="3"/>
      <c r="BC30" s="3"/>
      <c r="BD30" s="3"/>
      <c r="BE30" s="3"/>
    </row>
    <row r="31" spans="1:57" x14ac:dyDescent="0.2">
      <c r="A31" s="69" t="s">
        <v>241</v>
      </c>
      <c r="B31" s="70"/>
      <c r="C31" s="70"/>
      <c r="D31" s="71"/>
      <c r="E31" s="73"/>
      <c r="F31" s="109" t="str">
        <f>HYPERLINK("http://pbs.twimg.com/profile_images/991342704843022336/q--_yuT4_normal.jpg")</f>
        <v>http://pbs.twimg.com/profile_images/991342704843022336/q--_yuT4_normal.jpg</v>
      </c>
      <c r="G31" s="70"/>
      <c r="H31" s="74"/>
      <c r="I31" s="75"/>
      <c r="J31" s="75"/>
      <c r="K31" s="74" t="s">
        <v>2835</v>
      </c>
      <c r="L31" s="78"/>
      <c r="M31" s="79"/>
      <c r="N31" s="79"/>
      <c r="O31" s="80"/>
      <c r="P31" s="81"/>
      <c r="Q31" s="81"/>
      <c r="R31" s="93"/>
      <c r="S31" s="93"/>
      <c r="T31" s="93"/>
      <c r="U31" s="93"/>
      <c r="V31" s="52"/>
      <c r="W31" s="52"/>
      <c r="X31" s="52"/>
      <c r="Y31" s="52"/>
      <c r="Z31" s="51"/>
      <c r="AA31" s="76"/>
      <c r="AB31" s="76"/>
      <c r="AC31" s="77"/>
      <c r="AD31" s="83" t="s">
        <v>1860</v>
      </c>
      <c r="AE31" s="91" t="s">
        <v>2131</v>
      </c>
      <c r="AF31" s="83">
        <v>162</v>
      </c>
      <c r="AG31" s="83">
        <v>122</v>
      </c>
      <c r="AH31" s="83">
        <v>13111</v>
      </c>
      <c r="AI31" s="83">
        <v>63177</v>
      </c>
      <c r="AJ31" s="83"/>
      <c r="AK31" s="83" t="s">
        <v>2393</v>
      </c>
      <c r="AL31" s="83" t="s">
        <v>2654</v>
      </c>
      <c r="AM31" s="88" t="str">
        <f>HYPERLINK("https://t.co/dUZxaxbGOw")</f>
        <v>https://t.co/dUZxaxbGOw</v>
      </c>
      <c r="AN31" s="83"/>
      <c r="AO31" s="85">
        <v>40127.740104166667</v>
      </c>
      <c r="AP31" s="88" t="str">
        <f>HYPERLINK("https://pbs.twimg.com/profile_banners/88979782/1570323574")</f>
        <v>https://pbs.twimg.com/profile_banners/88979782/1570323574</v>
      </c>
      <c r="AQ31" s="83" t="b">
        <v>0</v>
      </c>
      <c r="AR31" s="83" t="b">
        <v>0</v>
      </c>
      <c r="AS31" s="83" t="b">
        <v>1</v>
      </c>
      <c r="AT31" s="83"/>
      <c r="AU31" s="83">
        <v>101</v>
      </c>
      <c r="AV31" s="88" t="str">
        <f>HYPERLINK("http://abs.twimg.com/images/themes/theme14/bg.gif")</f>
        <v>http://abs.twimg.com/images/themes/theme14/bg.gif</v>
      </c>
      <c r="AW31" s="83" t="b">
        <v>0</v>
      </c>
      <c r="AX31" s="83" t="s">
        <v>2807</v>
      </c>
      <c r="AY31" s="88" t="str">
        <f>HYPERLINK("https://twitter.com/_lipematheus")</f>
        <v>https://twitter.com/_lipematheus</v>
      </c>
      <c r="AZ31" s="83" t="s">
        <v>66</v>
      </c>
      <c r="BA31" s="2"/>
      <c r="BB31" s="3"/>
      <c r="BC31" s="3"/>
      <c r="BD31" s="3"/>
      <c r="BE31" s="3"/>
    </row>
    <row r="32" spans="1:57" x14ac:dyDescent="0.2">
      <c r="A32" s="69" t="s">
        <v>242</v>
      </c>
      <c r="B32" s="70"/>
      <c r="C32" s="70"/>
      <c r="D32" s="71"/>
      <c r="E32" s="73"/>
      <c r="F32" s="109" t="str">
        <f>HYPERLINK("http://pbs.twimg.com/profile_images/1156655867892289538/-18LbzZc_normal.jpg")</f>
        <v>http://pbs.twimg.com/profile_images/1156655867892289538/-18LbzZc_normal.jpg</v>
      </c>
      <c r="G32" s="70"/>
      <c r="H32" s="74"/>
      <c r="I32" s="75"/>
      <c r="J32" s="75"/>
      <c r="K32" s="74" t="s">
        <v>2836</v>
      </c>
      <c r="L32" s="78"/>
      <c r="M32" s="79"/>
      <c r="N32" s="79"/>
      <c r="O32" s="80"/>
      <c r="P32" s="81"/>
      <c r="Q32" s="81"/>
      <c r="R32" s="93"/>
      <c r="S32" s="93"/>
      <c r="T32" s="93"/>
      <c r="U32" s="93"/>
      <c r="V32" s="52"/>
      <c r="W32" s="52"/>
      <c r="X32" s="52"/>
      <c r="Y32" s="52"/>
      <c r="Z32" s="51"/>
      <c r="AA32" s="76"/>
      <c r="AB32" s="76"/>
      <c r="AC32" s="77"/>
      <c r="AD32" s="83" t="s">
        <v>1861</v>
      </c>
      <c r="AE32" s="91" t="s">
        <v>2132</v>
      </c>
      <c r="AF32" s="83">
        <v>244</v>
      </c>
      <c r="AG32" s="83">
        <v>67</v>
      </c>
      <c r="AH32" s="83">
        <v>767</v>
      </c>
      <c r="AI32" s="83">
        <v>1205</v>
      </c>
      <c r="AJ32" s="83"/>
      <c r="AK32" s="83" t="s">
        <v>2394</v>
      </c>
      <c r="AL32" s="83"/>
      <c r="AM32" s="88" t="str">
        <f>HYPERLINK("https://t.co/3SoiWTjAJg")</f>
        <v>https://t.co/3SoiWTjAJg</v>
      </c>
      <c r="AN32" s="83"/>
      <c r="AO32" s="85">
        <v>42155.917604166665</v>
      </c>
      <c r="AP32" s="83"/>
      <c r="AQ32" s="83" t="b">
        <v>0</v>
      </c>
      <c r="AR32" s="83" t="b">
        <v>0</v>
      </c>
      <c r="AS32" s="83" t="b">
        <v>0</v>
      </c>
      <c r="AT32" s="83"/>
      <c r="AU32" s="83">
        <v>0</v>
      </c>
      <c r="AV32" s="88" t="str">
        <f>HYPERLINK("http://abs.twimg.com/images/themes/theme1/bg.png")</f>
        <v>http://abs.twimg.com/images/themes/theme1/bg.png</v>
      </c>
      <c r="AW32" s="83" t="b">
        <v>0</v>
      </c>
      <c r="AX32" s="83" t="s">
        <v>2807</v>
      </c>
      <c r="AY32" s="88" t="str">
        <f>HYPERLINK("https://twitter.com/xrazorx2")</f>
        <v>https://twitter.com/xrazorx2</v>
      </c>
      <c r="AZ32" s="83" t="s">
        <v>66</v>
      </c>
      <c r="BA32" s="2"/>
      <c r="BB32" s="3"/>
      <c r="BC32" s="3"/>
      <c r="BD32" s="3"/>
      <c r="BE32" s="3"/>
    </row>
    <row r="33" spans="1:57" x14ac:dyDescent="0.2">
      <c r="A33" s="69" t="s">
        <v>466</v>
      </c>
      <c r="B33" s="70"/>
      <c r="C33" s="70"/>
      <c r="D33" s="71"/>
      <c r="E33" s="73"/>
      <c r="F33" s="109" t="str">
        <f>HYPERLINK("http://pbs.twimg.com/profile_images/1020653817275154432/WW-dpUo2_normal.jpg")</f>
        <v>http://pbs.twimg.com/profile_images/1020653817275154432/WW-dpUo2_normal.jpg</v>
      </c>
      <c r="G33" s="70"/>
      <c r="H33" s="74"/>
      <c r="I33" s="75"/>
      <c r="J33" s="75"/>
      <c r="K33" s="74" t="s">
        <v>2837</v>
      </c>
      <c r="L33" s="78"/>
      <c r="M33" s="79"/>
      <c r="N33" s="79"/>
      <c r="O33" s="80"/>
      <c r="P33" s="81"/>
      <c r="Q33" s="81"/>
      <c r="R33" s="93"/>
      <c r="S33" s="93"/>
      <c r="T33" s="93"/>
      <c r="U33" s="93"/>
      <c r="V33" s="52"/>
      <c r="W33" s="52"/>
      <c r="X33" s="52"/>
      <c r="Y33" s="52"/>
      <c r="Z33" s="51"/>
      <c r="AA33" s="76"/>
      <c r="AB33" s="76"/>
      <c r="AC33" s="77"/>
      <c r="AD33" s="83" t="s">
        <v>1862</v>
      </c>
      <c r="AE33" s="91" t="s">
        <v>2133</v>
      </c>
      <c r="AF33" s="83">
        <v>1996</v>
      </c>
      <c r="AG33" s="83">
        <v>54839</v>
      </c>
      <c r="AH33" s="83">
        <v>374071</v>
      </c>
      <c r="AI33" s="83">
        <v>3314</v>
      </c>
      <c r="AJ33" s="83"/>
      <c r="AK33" s="83" t="s">
        <v>2395</v>
      </c>
      <c r="AL33" s="83" t="s">
        <v>2655</v>
      </c>
      <c r="AM33" s="88" t="str">
        <f>HYPERLINK("https://t.co/xJ8FqfTBbi")</f>
        <v>https://t.co/xJ8FqfTBbi</v>
      </c>
      <c r="AN33" s="83"/>
      <c r="AO33" s="85">
        <v>43300.996469907404</v>
      </c>
      <c r="AP33" s="88" t="str">
        <f>HYPERLINK("https://pbs.twimg.com/profile_banners/1020094666685919233/1532292686")</f>
        <v>https://pbs.twimg.com/profile_banners/1020094666685919233/1532292686</v>
      </c>
      <c r="AQ33" s="83" t="b">
        <v>0</v>
      </c>
      <c r="AR33" s="83" t="b">
        <v>0</v>
      </c>
      <c r="AS33" s="83" t="b">
        <v>0</v>
      </c>
      <c r="AT33" s="83"/>
      <c r="AU33" s="83">
        <v>76</v>
      </c>
      <c r="AV33" s="88" t="str">
        <f>HYPERLINK("http://abs.twimg.com/images/themes/theme1/bg.png")</f>
        <v>http://abs.twimg.com/images/themes/theme1/bg.png</v>
      </c>
      <c r="AW33" s="83" t="b">
        <v>0</v>
      </c>
      <c r="AX33" s="83" t="s">
        <v>2807</v>
      </c>
      <c r="AY33" s="88" t="str">
        <f>HYPERLINK("https://twitter.com/smallstreamersc")</f>
        <v>https://twitter.com/smallstreamersc</v>
      </c>
      <c r="AZ33" s="83" t="s">
        <v>65</v>
      </c>
      <c r="BA33" s="2"/>
      <c r="BB33" s="3"/>
      <c r="BC33" s="3"/>
      <c r="BD33" s="3"/>
      <c r="BE33" s="3"/>
    </row>
    <row r="34" spans="1:57" x14ac:dyDescent="0.2">
      <c r="A34" s="69" t="s">
        <v>243</v>
      </c>
      <c r="B34" s="70"/>
      <c r="C34" s="70"/>
      <c r="D34" s="71"/>
      <c r="E34" s="73"/>
      <c r="F34" s="109" t="str">
        <f>HYPERLINK("http://pbs.twimg.com/profile_images/1117237815463428097/v-H0VSAG_normal.png")</f>
        <v>http://pbs.twimg.com/profile_images/1117237815463428097/v-H0VSAG_normal.png</v>
      </c>
      <c r="G34" s="70"/>
      <c r="H34" s="74"/>
      <c r="I34" s="75"/>
      <c r="J34" s="75"/>
      <c r="K34" s="74" t="s">
        <v>2838</v>
      </c>
      <c r="L34" s="78"/>
      <c r="M34" s="79"/>
      <c r="N34" s="79"/>
      <c r="O34" s="80"/>
      <c r="P34" s="81"/>
      <c r="Q34" s="81"/>
      <c r="R34" s="93"/>
      <c r="S34" s="93"/>
      <c r="T34" s="93"/>
      <c r="U34" s="93"/>
      <c r="V34" s="52"/>
      <c r="W34" s="52"/>
      <c r="X34" s="52"/>
      <c r="Y34" s="52"/>
      <c r="Z34" s="51"/>
      <c r="AA34" s="76"/>
      <c r="AB34" s="76"/>
      <c r="AC34" s="77"/>
      <c r="AD34" s="83" t="s">
        <v>1863</v>
      </c>
      <c r="AE34" s="91" t="s">
        <v>2134</v>
      </c>
      <c r="AF34" s="83">
        <v>3</v>
      </c>
      <c r="AG34" s="83">
        <v>31390</v>
      </c>
      <c r="AH34" s="83">
        <v>753568</v>
      </c>
      <c r="AI34" s="83">
        <v>139</v>
      </c>
      <c r="AJ34" s="83"/>
      <c r="AK34" s="83" t="s">
        <v>2396</v>
      </c>
      <c r="AL34" s="83" t="s">
        <v>2655</v>
      </c>
      <c r="AM34" s="88" t="str">
        <f>HYPERLINK("https://t.co/FzMWcqYsjy")</f>
        <v>https://t.co/FzMWcqYsjy</v>
      </c>
      <c r="AN34" s="83"/>
      <c r="AO34" s="85">
        <v>43568.868217592593</v>
      </c>
      <c r="AP34" s="88" t="str">
        <f>HYPERLINK("https://pbs.twimg.com/profile_banners/1117168138192179202/1555205238")</f>
        <v>https://pbs.twimg.com/profile_banners/1117168138192179202/1555205238</v>
      </c>
      <c r="AQ34" s="83" t="b">
        <v>0</v>
      </c>
      <c r="AR34" s="83" t="b">
        <v>0</v>
      </c>
      <c r="AS34" s="83" t="b">
        <v>0</v>
      </c>
      <c r="AT34" s="83"/>
      <c r="AU34" s="83">
        <v>78</v>
      </c>
      <c r="AV34" s="88" t="str">
        <f>HYPERLINK("http://abs.twimg.com/images/themes/theme1/bg.png")</f>
        <v>http://abs.twimg.com/images/themes/theme1/bg.png</v>
      </c>
      <c r="AW34" s="83" t="b">
        <v>0</v>
      </c>
      <c r="AX34" s="83" t="s">
        <v>2807</v>
      </c>
      <c r="AY34" s="88" t="str">
        <f>HYPERLINK("https://twitter.com/smallstreamersr")</f>
        <v>https://twitter.com/smallstreamersr</v>
      </c>
      <c r="AZ34" s="83" t="s">
        <v>66</v>
      </c>
      <c r="BA34" s="2"/>
      <c r="BB34" s="3"/>
      <c r="BC34" s="3"/>
      <c r="BD34" s="3"/>
      <c r="BE34" s="3"/>
    </row>
    <row r="35" spans="1:57" x14ac:dyDescent="0.2">
      <c r="A35" s="69" t="s">
        <v>244</v>
      </c>
      <c r="B35" s="70"/>
      <c r="C35" s="70"/>
      <c r="D35" s="71"/>
      <c r="E35" s="73"/>
      <c r="F35" s="109" t="str">
        <f>HYPERLINK("http://pbs.twimg.com/profile_images/1254564637594583040/FcTAxdBc_normal.jpg")</f>
        <v>http://pbs.twimg.com/profile_images/1254564637594583040/FcTAxdBc_normal.jpg</v>
      </c>
      <c r="G35" s="70"/>
      <c r="H35" s="74"/>
      <c r="I35" s="75"/>
      <c r="J35" s="75"/>
      <c r="K35" s="74" t="s">
        <v>2839</v>
      </c>
      <c r="L35" s="78"/>
      <c r="M35" s="79"/>
      <c r="N35" s="79"/>
      <c r="O35" s="80"/>
      <c r="P35" s="81"/>
      <c r="Q35" s="81"/>
      <c r="R35" s="93"/>
      <c r="S35" s="93"/>
      <c r="T35" s="93"/>
      <c r="U35" s="93"/>
      <c r="V35" s="52"/>
      <c r="W35" s="52"/>
      <c r="X35" s="52"/>
      <c r="Y35" s="52"/>
      <c r="Z35" s="51"/>
      <c r="AA35" s="76"/>
      <c r="AB35" s="76"/>
      <c r="AC35" s="77"/>
      <c r="AD35" s="83" t="s">
        <v>1864</v>
      </c>
      <c r="AE35" s="91" t="s">
        <v>2135</v>
      </c>
      <c r="AF35" s="83">
        <v>117</v>
      </c>
      <c r="AG35" s="83">
        <v>6311</v>
      </c>
      <c r="AH35" s="83">
        <v>3247</v>
      </c>
      <c r="AI35" s="83">
        <v>95</v>
      </c>
      <c r="AJ35" s="83"/>
      <c r="AK35" s="83" t="s">
        <v>2397</v>
      </c>
      <c r="AL35" s="83" t="s">
        <v>2656</v>
      </c>
      <c r="AM35" s="88" t="str">
        <f>HYPERLINK("https://t.co/G3Pg3Zj51K")</f>
        <v>https://t.co/G3Pg3Zj51K</v>
      </c>
      <c r="AN35" s="83"/>
      <c r="AO35" s="85">
        <v>41927.728506944448</v>
      </c>
      <c r="AP35" s="88" t="str">
        <f>HYPERLINK("https://pbs.twimg.com/profile_banners/2832247324/1587946496")</f>
        <v>https://pbs.twimg.com/profile_banners/2832247324/1587946496</v>
      </c>
      <c r="AQ35" s="83" t="b">
        <v>0</v>
      </c>
      <c r="AR35" s="83" t="b">
        <v>0</v>
      </c>
      <c r="AS35" s="83" t="b">
        <v>1</v>
      </c>
      <c r="AT35" s="83"/>
      <c r="AU35" s="83">
        <v>4</v>
      </c>
      <c r="AV35" s="88" t="str">
        <f>HYPERLINK("http://abs.twimg.com/images/themes/theme1/bg.png")</f>
        <v>http://abs.twimg.com/images/themes/theme1/bg.png</v>
      </c>
      <c r="AW35" s="83" t="b">
        <v>0</v>
      </c>
      <c r="AX35" s="83" t="s">
        <v>2807</v>
      </c>
      <c r="AY35" s="88" t="str">
        <f>HYPERLINK("https://twitter.com/houseoflunettes")</f>
        <v>https://twitter.com/houseoflunettes</v>
      </c>
      <c r="AZ35" s="83" t="s">
        <v>66</v>
      </c>
      <c r="BA35" s="2"/>
      <c r="BB35" s="3"/>
      <c r="BC35" s="3"/>
      <c r="BD35" s="3"/>
      <c r="BE35" s="3"/>
    </row>
    <row r="36" spans="1:57" x14ac:dyDescent="0.2">
      <c r="A36" s="69" t="s">
        <v>245</v>
      </c>
      <c r="B36" s="70"/>
      <c r="C36" s="70"/>
      <c r="D36" s="71"/>
      <c r="E36" s="73"/>
      <c r="F36" s="109" t="str">
        <f>HYPERLINK("http://pbs.twimg.com/profile_images/1272460306300768259/vBJM3TY__normal.jpg")</f>
        <v>http://pbs.twimg.com/profile_images/1272460306300768259/vBJM3TY__normal.jpg</v>
      </c>
      <c r="G36" s="70"/>
      <c r="H36" s="74"/>
      <c r="I36" s="75"/>
      <c r="J36" s="75"/>
      <c r="K36" s="74" t="s">
        <v>2840</v>
      </c>
      <c r="L36" s="78"/>
      <c r="M36" s="79"/>
      <c r="N36" s="79"/>
      <c r="O36" s="80"/>
      <c r="P36" s="81"/>
      <c r="Q36" s="81"/>
      <c r="R36" s="93"/>
      <c r="S36" s="93"/>
      <c r="T36" s="93"/>
      <c r="U36" s="93"/>
      <c r="V36" s="52"/>
      <c r="W36" s="52"/>
      <c r="X36" s="52"/>
      <c r="Y36" s="52"/>
      <c r="Z36" s="51"/>
      <c r="AA36" s="76"/>
      <c r="AB36" s="76"/>
      <c r="AC36" s="77"/>
      <c r="AD36" s="83" t="s">
        <v>1865</v>
      </c>
      <c r="AE36" s="91" t="s">
        <v>2136</v>
      </c>
      <c r="AF36" s="83">
        <v>166</v>
      </c>
      <c r="AG36" s="83">
        <v>278</v>
      </c>
      <c r="AH36" s="83">
        <v>9916</v>
      </c>
      <c r="AI36" s="83">
        <v>18542</v>
      </c>
      <c r="AJ36" s="83"/>
      <c r="AK36" s="83" t="s">
        <v>2398</v>
      </c>
      <c r="AL36" s="83"/>
      <c r="AM36" s="83"/>
      <c r="AN36" s="83"/>
      <c r="AO36" s="85">
        <v>43757.629814814813</v>
      </c>
      <c r="AP36" s="88" t="str">
        <f>HYPERLINK("https://pbs.twimg.com/profile_banners/1185572967192911873/1592170260")</f>
        <v>https://pbs.twimg.com/profile_banners/1185572967192911873/1592170260</v>
      </c>
      <c r="AQ36" s="83" t="b">
        <v>1</v>
      </c>
      <c r="AR36" s="83" t="b">
        <v>0</v>
      </c>
      <c r="AS36" s="83" t="b">
        <v>0</v>
      </c>
      <c r="AT36" s="83"/>
      <c r="AU36" s="83">
        <v>0</v>
      </c>
      <c r="AV36" s="83"/>
      <c r="AW36" s="83" t="b">
        <v>0</v>
      </c>
      <c r="AX36" s="83" t="s">
        <v>2807</v>
      </c>
      <c r="AY36" s="88" t="str">
        <f>HYPERLINK("https://twitter.com/anuoluw5")</f>
        <v>https://twitter.com/anuoluw5</v>
      </c>
      <c r="AZ36" s="83" t="s">
        <v>66</v>
      </c>
      <c r="BA36" s="2"/>
      <c r="BB36" s="3"/>
      <c r="BC36" s="3"/>
      <c r="BD36" s="3"/>
      <c r="BE36" s="3"/>
    </row>
    <row r="37" spans="1:57" x14ac:dyDescent="0.2">
      <c r="A37" s="69" t="s">
        <v>246</v>
      </c>
      <c r="B37" s="70"/>
      <c r="C37" s="70"/>
      <c r="D37" s="71"/>
      <c r="E37" s="73"/>
      <c r="F37" s="109" t="str">
        <f>HYPERLINK("http://abs.twimg.com/sticky/default_profile_images/default_profile_normal.png")</f>
        <v>http://abs.twimg.com/sticky/default_profile_images/default_profile_normal.png</v>
      </c>
      <c r="G37" s="70"/>
      <c r="H37" s="74"/>
      <c r="I37" s="75"/>
      <c r="J37" s="75"/>
      <c r="K37" s="74" t="s">
        <v>2841</v>
      </c>
      <c r="L37" s="78"/>
      <c r="M37" s="79"/>
      <c r="N37" s="79"/>
      <c r="O37" s="80"/>
      <c r="P37" s="81"/>
      <c r="Q37" s="81"/>
      <c r="R37" s="93"/>
      <c r="S37" s="93"/>
      <c r="T37" s="93"/>
      <c r="U37" s="93"/>
      <c r="V37" s="52"/>
      <c r="W37" s="52"/>
      <c r="X37" s="52"/>
      <c r="Y37" s="52"/>
      <c r="Z37" s="51"/>
      <c r="AA37" s="76"/>
      <c r="AB37" s="76"/>
      <c r="AC37" s="77"/>
      <c r="AD37" s="83" t="s">
        <v>1866</v>
      </c>
      <c r="AE37" s="91" t="s">
        <v>1726</v>
      </c>
      <c r="AF37" s="83">
        <v>1</v>
      </c>
      <c r="AG37" s="83">
        <v>2</v>
      </c>
      <c r="AH37" s="83">
        <v>118</v>
      </c>
      <c r="AI37" s="83">
        <v>28</v>
      </c>
      <c r="AJ37" s="83"/>
      <c r="AK37" s="83"/>
      <c r="AL37" s="83"/>
      <c r="AM37" s="83"/>
      <c r="AN37" s="83"/>
      <c r="AO37" s="85">
        <v>42603.65693287037</v>
      </c>
      <c r="AP37" s="83"/>
      <c r="AQ37" s="83" t="b">
        <v>1</v>
      </c>
      <c r="AR37" s="83" t="b">
        <v>1</v>
      </c>
      <c r="AS37" s="83" t="b">
        <v>0</v>
      </c>
      <c r="AT37" s="83"/>
      <c r="AU37" s="83">
        <v>0</v>
      </c>
      <c r="AV37" s="83"/>
      <c r="AW37" s="83" t="b">
        <v>0</v>
      </c>
      <c r="AX37" s="83" t="s">
        <v>2807</v>
      </c>
      <c r="AY37" s="88" t="str">
        <f>HYPERLINK("https://twitter.com/kokyona")</f>
        <v>https://twitter.com/kokyona</v>
      </c>
      <c r="AZ37" s="83" t="s">
        <v>66</v>
      </c>
      <c r="BA37" s="2"/>
      <c r="BB37" s="3"/>
      <c r="BC37" s="3"/>
      <c r="BD37" s="3"/>
      <c r="BE37" s="3"/>
    </row>
    <row r="38" spans="1:57" x14ac:dyDescent="0.2">
      <c r="A38" s="69" t="s">
        <v>247</v>
      </c>
      <c r="B38" s="70"/>
      <c r="C38" s="70"/>
      <c r="D38" s="71"/>
      <c r="E38" s="73"/>
      <c r="F38" s="109" t="str">
        <f>HYPERLINK("http://pbs.twimg.com/profile_images/1281764676012052480/WZGdXBy3_normal.jpg")</f>
        <v>http://pbs.twimg.com/profile_images/1281764676012052480/WZGdXBy3_normal.jpg</v>
      </c>
      <c r="G38" s="70"/>
      <c r="H38" s="74"/>
      <c r="I38" s="75"/>
      <c r="J38" s="75"/>
      <c r="K38" s="74" t="s">
        <v>2842</v>
      </c>
      <c r="L38" s="78"/>
      <c r="M38" s="79"/>
      <c r="N38" s="79"/>
      <c r="O38" s="80"/>
      <c r="P38" s="81"/>
      <c r="Q38" s="81"/>
      <c r="R38" s="93"/>
      <c r="S38" s="93"/>
      <c r="T38" s="93"/>
      <c r="U38" s="93"/>
      <c r="V38" s="52"/>
      <c r="W38" s="52"/>
      <c r="X38" s="52"/>
      <c r="Y38" s="52"/>
      <c r="Z38" s="51"/>
      <c r="AA38" s="76"/>
      <c r="AB38" s="76"/>
      <c r="AC38" s="77"/>
      <c r="AD38" s="83" t="s">
        <v>1867</v>
      </c>
      <c r="AE38" s="91" t="s">
        <v>2137</v>
      </c>
      <c r="AF38" s="83">
        <v>5242</v>
      </c>
      <c r="AG38" s="83">
        <v>14434</v>
      </c>
      <c r="AH38" s="83">
        <v>12741</v>
      </c>
      <c r="AI38" s="83">
        <v>1806</v>
      </c>
      <c r="AJ38" s="83"/>
      <c r="AK38" s="83" t="s">
        <v>2399</v>
      </c>
      <c r="AL38" s="83" t="s">
        <v>2657</v>
      </c>
      <c r="AM38" s="88" t="str">
        <f>HYPERLINK("https://t.co/ZkOxvXnMRS")</f>
        <v>https://t.co/ZkOxvXnMRS</v>
      </c>
      <c r="AN38" s="83"/>
      <c r="AO38" s="85">
        <v>40684.568472222221</v>
      </c>
      <c r="AP38" s="88" t="str">
        <f>HYPERLINK("https://pbs.twimg.com/profile_banners/302613855/1594056322")</f>
        <v>https://pbs.twimg.com/profile_banners/302613855/1594056322</v>
      </c>
      <c r="AQ38" s="83" t="b">
        <v>0</v>
      </c>
      <c r="AR38" s="83" t="b">
        <v>0</v>
      </c>
      <c r="AS38" s="83" t="b">
        <v>1</v>
      </c>
      <c r="AT38" s="83"/>
      <c r="AU38" s="83">
        <v>46</v>
      </c>
      <c r="AV38" s="88" t="str">
        <f>HYPERLINK("http://abs.twimg.com/images/themes/theme1/bg.png")</f>
        <v>http://abs.twimg.com/images/themes/theme1/bg.png</v>
      </c>
      <c r="AW38" s="83" t="b">
        <v>0</v>
      </c>
      <c r="AX38" s="83" t="s">
        <v>2807</v>
      </c>
      <c r="AY38" s="88" t="str">
        <f>HYPERLINK("https://twitter.com/jc_salazar")</f>
        <v>https://twitter.com/jc_salazar</v>
      </c>
      <c r="AZ38" s="83" t="s">
        <v>66</v>
      </c>
      <c r="BA38" s="2"/>
      <c r="BB38" s="3"/>
      <c r="BC38" s="3"/>
      <c r="BD38" s="3"/>
      <c r="BE38" s="3"/>
    </row>
    <row r="39" spans="1:57" x14ac:dyDescent="0.2">
      <c r="A39" s="69" t="s">
        <v>248</v>
      </c>
      <c r="B39" s="70"/>
      <c r="C39" s="70"/>
      <c r="D39" s="71"/>
      <c r="E39" s="73"/>
      <c r="F39" s="109" t="str">
        <f>HYPERLINK("http://pbs.twimg.com/profile_images/1230594922497093632/mCVDTPRl_normal.jpg")</f>
        <v>http://pbs.twimg.com/profile_images/1230594922497093632/mCVDTPRl_normal.jpg</v>
      </c>
      <c r="G39" s="70"/>
      <c r="H39" s="74"/>
      <c r="I39" s="75"/>
      <c r="J39" s="75"/>
      <c r="K39" s="74" t="s">
        <v>2843</v>
      </c>
      <c r="L39" s="78"/>
      <c r="M39" s="79"/>
      <c r="N39" s="79"/>
      <c r="O39" s="80"/>
      <c r="P39" s="81"/>
      <c r="Q39" s="81"/>
      <c r="R39" s="93"/>
      <c r="S39" s="93"/>
      <c r="T39" s="93"/>
      <c r="U39" s="93"/>
      <c r="V39" s="52"/>
      <c r="W39" s="52"/>
      <c r="X39" s="52"/>
      <c r="Y39" s="52"/>
      <c r="Z39" s="51"/>
      <c r="AA39" s="76"/>
      <c r="AB39" s="76"/>
      <c r="AC39" s="77"/>
      <c r="AD39" s="83" t="s">
        <v>1868</v>
      </c>
      <c r="AE39" s="91" t="s">
        <v>2138</v>
      </c>
      <c r="AF39" s="83">
        <v>2891</v>
      </c>
      <c r="AG39" s="83">
        <v>2685</v>
      </c>
      <c r="AH39" s="83">
        <v>11896</v>
      </c>
      <c r="AI39" s="83">
        <v>3418</v>
      </c>
      <c r="AJ39" s="83"/>
      <c r="AK39" s="83" t="s">
        <v>2400</v>
      </c>
      <c r="AL39" s="83" t="s">
        <v>2658</v>
      </c>
      <c r="AM39" s="88" t="str">
        <f>HYPERLINK("https://t.co/D2SxFcDeUI")</f>
        <v>https://t.co/D2SxFcDeUI</v>
      </c>
      <c r="AN39" s="83"/>
      <c r="AO39" s="85">
        <v>42613.762152777781</v>
      </c>
      <c r="AP39" s="88" t="str">
        <f>HYPERLINK("https://pbs.twimg.com/profile_banners/771049287232794624/1582230708")</f>
        <v>https://pbs.twimg.com/profile_banners/771049287232794624/1582230708</v>
      </c>
      <c r="AQ39" s="83" t="b">
        <v>0</v>
      </c>
      <c r="AR39" s="83" t="b">
        <v>0</v>
      </c>
      <c r="AS39" s="83" t="b">
        <v>0</v>
      </c>
      <c r="AT39" s="83"/>
      <c r="AU39" s="83">
        <v>20</v>
      </c>
      <c r="AV39" s="88" t="str">
        <f>HYPERLINK("http://abs.twimg.com/images/themes/theme1/bg.png")</f>
        <v>http://abs.twimg.com/images/themes/theme1/bg.png</v>
      </c>
      <c r="AW39" s="83" t="b">
        <v>0</v>
      </c>
      <c r="AX39" s="83" t="s">
        <v>2807</v>
      </c>
      <c r="AY39" s="88" t="str">
        <f>HYPERLINK("https://twitter.com/brandulinks")</f>
        <v>https://twitter.com/brandulinks</v>
      </c>
      <c r="AZ39" s="83" t="s">
        <v>66</v>
      </c>
      <c r="BA39" s="2"/>
      <c r="BB39" s="3"/>
      <c r="BC39" s="3"/>
      <c r="BD39" s="3"/>
      <c r="BE39" s="3"/>
    </row>
    <row r="40" spans="1:57" x14ac:dyDescent="0.2">
      <c r="A40" s="69" t="s">
        <v>467</v>
      </c>
      <c r="B40" s="70"/>
      <c r="C40" s="70"/>
      <c r="D40" s="71"/>
      <c r="E40" s="73"/>
      <c r="F40" s="109" t="str">
        <f>HYPERLINK("http://pbs.twimg.com/profile_images/1192199370051137540/3MYhbls3_normal.jpg")</f>
        <v>http://pbs.twimg.com/profile_images/1192199370051137540/3MYhbls3_normal.jpg</v>
      </c>
      <c r="G40" s="70"/>
      <c r="H40" s="74"/>
      <c r="I40" s="75"/>
      <c r="J40" s="75"/>
      <c r="K40" s="74" t="s">
        <v>2844</v>
      </c>
      <c r="L40" s="78"/>
      <c r="M40" s="79"/>
      <c r="N40" s="79"/>
      <c r="O40" s="80"/>
      <c r="P40" s="81"/>
      <c r="Q40" s="81"/>
      <c r="R40" s="93"/>
      <c r="S40" s="93"/>
      <c r="T40" s="93"/>
      <c r="U40" s="93"/>
      <c r="V40" s="52"/>
      <c r="W40" s="52"/>
      <c r="X40" s="52"/>
      <c r="Y40" s="52"/>
      <c r="Z40" s="51"/>
      <c r="AA40" s="76"/>
      <c r="AB40" s="76"/>
      <c r="AC40" s="77"/>
      <c r="AD40" s="83" t="s">
        <v>1869</v>
      </c>
      <c r="AE40" s="91" t="s">
        <v>2139</v>
      </c>
      <c r="AF40" s="83">
        <v>7018</v>
      </c>
      <c r="AG40" s="83">
        <v>23340</v>
      </c>
      <c r="AH40" s="83">
        <v>9100</v>
      </c>
      <c r="AI40" s="83">
        <v>4489</v>
      </c>
      <c r="AJ40" s="83"/>
      <c r="AK40" s="83" t="s">
        <v>2401</v>
      </c>
      <c r="AL40" s="83" t="s">
        <v>2659</v>
      </c>
      <c r="AM40" s="88" t="str">
        <f>HYPERLINK("https://t.co/hZaOnz4hXb")</f>
        <v>https://t.co/hZaOnz4hXb</v>
      </c>
      <c r="AN40" s="83"/>
      <c r="AO40" s="85">
        <v>40234.001770833333</v>
      </c>
      <c r="AP40" s="88" t="str">
        <f>HYPERLINK("https://pbs.twimg.com/profile_banners/117236393/1565791874")</f>
        <v>https://pbs.twimg.com/profile_banners/117236393/1565791874</v>
      </c>
      <c r="AQ40" s="83" t="b">
        <v>0</v>
      </c>
      <c r="AR40" s="83" t="b">
        <v>0</v>
      </c>
      <c r="AS40" s="83" t="b">
        <v>0</v>
      </c>
      <c r="AT40" s="83"/>
      <c r="AU40" s="83">
        <v>0</v>
      </c>
      <c r="AV40" s="88" t="str">
        <f>HYPERLINK("http://abs.twimg.com/images/themes/theme1/bg.png")</f>
        <v>http://abs.twimg.com/images/themes/theme1/bg.png</v>
      </c>
      <c r="AW40" s="83" t="b">
        <v>0</v>
      </c>
      <c r="AX40" s="83" t="s">
        <v>2807</v>
      </c>
      <c r="AY40" s="88" t="str">
        <f>HYPERLINK("https://twitter.com/squadhelp")</f>
        <v>https://twitter.com/squadhelp</v>
      </c>
      <c r="AZ40" s="83" t="s">
        <v>65</v>
      </c>
      <c r="BA40" s="2"/>
      <c r="BB40" s="3"/>
      <c r="BC40" s="3"/>
      <c r="BD40" s="3"/>
      <c r="BE40" s="3"/>
    </row>
    <row r="41" spans="1:57" x14ac:dyDescent="0.2">
      <c r="A41" s="69" t="s">
        <v>249</v>
      </c>
      <c r="B41" s="70"/>
      <c r="C41" s="70"/>
      <c r="D41" s="71"/>
      <c r="E41" s="73"/>
      <c r="F41" s="109" t="str">
        <f>HYPERLINK("http://pbs.twimg.com/profile_images/1261369962590924800/UhyJLvsz_normal.jpg")</f>
        <v>http://pbs.twimg.com/profile_images/1261369962590924800/UhyJLvsz_normal.jpg</v>
      </c>
      <c r="G41" s="70"/>
      <c r="H41" s="74"/>
      <c r="I41" s="75"/>
      <c r="J41" s="75"/>
      <c r="K41" s="74" t="s">
        <v>2845</v>
      </c>
      <c r="L41" s="78"/>
      <c r="M41" s="79"/>
      <c r="N41" s="79"/>
      <c r="O41" s="80"/>
      <c r="P41" s="81"/>
      <c r="Q41" s="81"/>
      <c r="R41" s="93"/>
      <c r="S41" s="93"/>
      <c r="T41" s="93"/>
      <c r="U41" s="93"/>
      <c r="V41" s="52"/>
      <c r="W41" s="52"/>
      <c r="X41" s="52"/>
      <c r="Y41" s="52"/>
      <c r="Z41" s="51"/>
      <c r="AA41" s="76"/>
      <c r="AB41" s="76"/>
      <c r="AC41" s="77"/>
      <c r="AD41" s="83" t="s">
        <v>1870</v>
      </c>
      <c r="AE41" s="91" t="s">
        <v>2140</v>
      </c>
      <c r="AF41" s="83">
        <v>152</v>
      </c>
      <c r="AG41" s="83">
        <v>147</v>
      </c>
      <c r="AH41" s="83">
        <v>3475</v>
      </c>
      <c r="AI41" s="83">
        <v>9738</v>
      </c>
      <c r="AJ41" s="83"/>
      <c r="AK41" s="83" t="s">
        <v>2402</v>
      </c>
      <c r="AL41" s="83" t="s">
        <v>2660</v>
      </c>
      <c r="AM41" s="83"/>
      <c r="AN41" s="83"/>
      <c r="AO41" s="85">
        <v>43617.979513888888</v>
      </c>
      <c r="AP41" s="88" t="str">
        <f>HYPERLINK("https://pbs.twimg.com/profile_banners/1134965476327546881/1590277279")</f>
        <v>https://pbs.twimg.com/profile_banners/1134965476327546881/1590277279</v>
      </c>
      <c r="AQ41" s="83" t="b">
        <v>1</v>
      </c>
      <c r="AR41" s="83" t="b">
        <v>0</v>
      </c>
      <c r="AS41" s="83" t="b">
        <v>0</v>
      </c>
      <c r="AT41" s="83"/>
      <c r="AU41" s="83">
        <v>1</v>
      </c>
      <c r="AV41" s="83"/>
      <c r="AW41" s="83" t="b">
        <v>0</v>
      </c>
      <c r="AX41" s="83" t="s">
        <v>2807</v>
      </c>
      <c r="AY41" s="88" t="str">
        <f>HYPERLINK("https://twitter.com/yooousango")</f>
        <v>https://twitter.com/yooousango</v>
      </c>
      <c r="AZ41" s="83" t="s">
        <v>66</v>
      </c>
      <c r="BA41" s="2"/>
      <c r="BB41" s="3"/>
      <c r="BC41" s="3"/>
      <c r="BD41" s="3"/>
      <c r="BE41" s="3"/>
    </row>
    <row r="42" spans="1:57" x14ac:dyDescent="0.2">
      <c r="A42" s="69" t="s">
        <v>250</v>
      </c>
      <c r="B42" s="70"/>
      <c r="C42" s="70"/>
      <c r="D42" s="71"/>
      <c r="E42" s="73"/>
      <c r="F42" s="109" t="str">
        <f>HYPERLINK("http://pbs.twimg.com/profile_images/1042938472154255360/ROg4kX4A_normal.jpg")</f>
        <v>http://pbs.twimg.com/profile_images/1042938472154255360/ROg4kX4A_normal.jpg</v>
      </c>
      <c r="G42" s="70"/>
      <c r="H42" s="74"/>
      <c r="I42" s="75"/>
      <c r="J42" s="75"/>
      <c r="K42" s="74" t="s">
        <v>2846</v>
      </c>
      <c r="L42" s="78"/>
      <c r="M42" s="79"/>
      <c r="N42" s="79"/>
      <c r="O42" s="80"/>
      <c r="P42" s="81"/>
      <c r="Q42" s="81"/>
      <c r="R42" s="93"/>
      <c r="S42" s="93"/>
      <c r="T42" s="93"/>
      <c r="U42" s="93"/>
      <c r="V42" s="52"/>
      <c r="W42" s="52"/>
      <c r="X42" s="52"/>
      <c r="Y42" s="52"/>
      <c r="Z42" s="51"/>
      <c r="AA42" s="76"/>
      <c r="AB42" s="76"/>
      <c r="AC42" s="77"/>
      <c r="AD42" s="83" t="s">
        <v>1871</v>
      </c>
      <c r="AE42" s="91" t="s">
        <v>2141</v>
      </c>
      <c r="AF42" s="83">
        <v>1734</v>
      </c>
      <c r="AG42" s="83">
        <v>2265</v>
      </c>
      <c r="AH42" s="83">
        <v>45023</v>
      </c>
      <c r="AI42" s="83">
        <v>15442</v>
      </c>
      <c r="AJ42" s="83"/>
      <c r="AK42" s="83" t="s">
        <v>2403</v>
      </c>
      <c r="AL42" s="83" t="s">
        <v>2661</v>
      </c>
      <c r="AM42" s="88" t="str">
        <f>HYPERLINK("https://t.co/7z1XDUiUCX")</f>
        <v>https://t.co/7z1XDUiUCX</v>
      </c>
      <c r="AN42" s="83"/>
      <c r="AO42" s="85">
        <v>39901.610601851855</v>
      </c>
      <c r="AP42" s="88" t="str">
        <f>HYPERLINK("https://pbs.twimg.com/profile_banners/27434294/1507863540")</f>
        <v>https://pbs.twimg.com/profile_banners/27434294/1507863540</v>
      </c>
      <c r="AQ42" s="83" t="b">
        <v>0</v>
      </c>
      <c r="AR42" s="83" t="b">
        <v>0</v>
      </c>
      <c r="AS42" s="83" t="b">
        <v>1</v>
      </c>
      <c r="AT42" s="83"/>
      <c r="AU42" s="83">
        <v>61</v>
      </c>
      <c r="AV42" s="88" t="str">
        <f>HYPERLINK("http://abs.twimg.com/images/themes/theme5/bg.gif")</f>
        <v>http://abs.twimg.com/images/themes/theme5/bg.gif</v>
      </c>
      <c r="AW42" s="83" t="b">
        <v>0</v>
      </c>
      <c r="AX42" s="83" t="s">
        <v>2807</v>
      </c>
      <c r="AY42" s="88" t="str">
        <f>HYPERLINK("https://twitter.com/britnoo")</f>
        <v>https://twitter.com/britnoo</v>
      </c>
      <c r="AZ42" s="83" t="s">
        <v>66</v>
      </c>
      <c r="BA42" s="2"/>
      <c r="BB42" s="3"/>
      <c r="BC42" s="3"/>
      <c r="BD42" s="3"/>
      <c r="BE42" s="3"/>
    </row>
    <row r="43" spans="1:57" x14ac:dyDescent="0.2">
      <c r="A43" s="69" t="s">
        <v>251</v>
      </c>
      <c r="B43" s="70"/>
      <c r="C43" s="70"/>
      <c r="D43" s="71"/>
      <c r="E43" s="73"/>
      <c r="F43" s="109" t="str">
        <f>HYPERLINK("http://pbs.twimg.com/profile_images/988069635739140096/ryFbp7ap_normal.jpg")</f>
        <v>http://pbs.twimg.com/profile_images/988069635739140096/ryFbp7ap_normal.jpg</v>
      </c>
      <c r="G43" s="70"/>
      <c r="H43" s="74"/>
      <c r="I43" s="75"/>
      <c r="J43" s="75"/>
      <c r="K43" s="74" t="s">
        <v>2847</v>
      </c>
      <c r="L43" s="78"/>
      <c r="M43" s="79"/>
      <c r="N43" s="79"/>
      <c r="O43" s="80"/>
      <c r="P43" s="81"/>
      <c r="Q43" s="81"/>
      <c r="R43" s="93"/>
      <c r="S43" s="93"/>
      <c r="T43" s="93"/>
      <c r="U43" s="93"/>
      <c r="V43" s="52"/>
      <c r="W43" s="52"/>
      <c r="X43" s="52"/>
      <c r="Y43" s="52"/>
      <c r="Z43" s="51"/>
      <c r="AA43" s="76"/>
      <c r="AB43" s="76"/>
      <c r="AC43" s="77"/>
      <c r="AD43" s="83" t="s">
        <v>1872</v>
      </c>
      <c r="AE43" s="91" t="s">
        <v>2142</v>
      </c>
      <c r="AF43" s="83">
        <v>18</v>
      </c>
      <c r="AG43" s="83">
        <v>1071</v>
      </c>
      <c r="AH43" s="83">
        <v>77174</v>
      </c>
      <c r="AI43" s="83">
        <v>1</v>
      </c>
      <c r="AJ43" s="83"/>
      <c r="AK43" s="83" t="s">
        <v>2404</v>
      </c>
      <c r="AL43" s="83"/>
      <c r="AM43" s="83"/>
      <c r="AN43" s="83"/>
      <c r="AO43" s="85">
        <v>43212.621388888889</v>
      </c>
      <c r="AP43" s="88" t="str">
        <f>HYPERLINK("https://pbs.twimg.com/profile_banners/988068608868728832/1524409575")</f>
        <v>https://pbs.twimg.com/profile_banners/988068608868728832/1524409575</v>
      </c>
      <c r="AQ43" s="83" t="b">
        <v>1</v>
      </c>
      <c r="AR43" s="83" t="b">
        <v>0</v>
      </c>
      <c r="AS43" s="83" t="b">
        <v>0</v>
      </c>
      <c r="AT43" s="83"/>
      <c r="AU43" s="83">
        <v>19</v>
      </c>
      <c r="AV43" s="83"/>
      <c r="AW43" s="83" t="b">
        <v>0</v>
      </c>
      <c r="AX43" s="83" t="s">
        <v>2807</v>
      </c>
      <c r="AY43" s="88" t="str">
        <f>HYPERLINK("https://twitter.com/watchezmenz")</f>
        <v>https://twitter.com/watchezmenz</v>
      </c>
      <c r="AZ43" s="83" t="s">
        <v>66</v>
      </c>
      <c r="BA43" s="2"/>
      <c r="BB43" s="3"/>
      <c r="BC43" s="3"/>
      <c r="BD43" s="3"/>
      <c r="BE43" s="3"/>
    </row>
    <row r="44" spans="1:57" x14ac:dyDescent="0.2">
      <c r="A44" s="69" t="s">
        <v>252</v>
      </c>
      <c r="B44" s="70"/>
      <c r="C44" s="70"/>
      <c r="D44" s="71"/>
      <c r="E44" s="73"/>
      <c r="F44" s="109" t="str">
        <f>HYPERLINK("http://pbs.twimg.com/profile_images/1089380394644860929/jLFgoYn2_normal.jpg")</f>
        <v>http://pbs.twimg.com/profile_images/1089380394644860929/jLFgoYn2_normal.jpg</v>
      </c>
      <c r="G44" s="70"/>
      <c r="H44" s="74"/>
      <c r="I44" s="75"/>
      <c r="J44" s="75"/>
      <c r="K44" s="74" t="s">
        <v>2848</v>
      </c>
      <c r="L44" s="78"/>
      <c r="M44" s="79"/>
      <c r="N44" s="79"/>
      <c r="O44" s="80"/>
      <c r="P44" s="81"/>
      <c r="Q44" s="81"/>
      <c r="R44" s="93"/>
      <c r="S44" s="93"/>
      <c r="T44" s="93"/>
      <c r="U44" s="93"/>
      <c r="V44" s="52"/>
      <c r="W44" s="52"/>
      <c r="X44" s="52"/>
      <c r="Y44" s="52"/>
      <c r="Z44" s="51"/>
      <c r="AA44" s="76"/>
      <c r="AB44" s="76"/>
      <c r="AC44" s="77"/>
      <c r="AD44" s="83" t="s">
        <v>1873</v>
      </c>
      <c r="AE44" s="91" t="s">
        <v>2143</v>
      </c>
      <c r="AF44" s="83">
        <v>1832</v>
      </c>
      <c r="AG44" s="83">
        <v>2104</v>
      </c>
      <c r="AH44" s="83">
        <v>387975</v>
      </c>
      <c r="AI44" s="83">
        <v>6223</v>
      </c>
      <c r="AJ44" s="83"/>
      <c r="AK44" s="83" t="s">
        <v>2405</v>
      </c>
      <c r="AL44" s="83" t="s">
        <v>2662</v>
      </c>
      <c r="AM44" s="83"/>
      <c r="AN44" s="83"/>
      <c r="AO44" s="85">
        <v>40429.661898148152</v>
      </c>
      <c r="AP44" s="88" t="str">
        <f>HYPERLINK("https://pbs.twimg.com/profile_banners/188376652/1486886294")</f>
        <v>https://pbs.twimg.com/profile_banners/188376652/1486886294</v>
      </c>
      <c r="AQ44" s="83" t="b">
        <v>0</v>
      </c>
      <c r="AR44" s="83" t="b">
        <v>0</v>
      </c>
      <c r="AS44" s="83" t="b">
        <v>1</v>
      </c>
      <c r="AT44" s="83"/>
      <c r="AU44" s="83">
        <v>129</v>
      </c>
      <c r="AV44" s="88" t="str">
        <f>HYPERLINK("http://abs.twimg.com/images/themes/theme19/bg.gif")</f>
        <v>http://abs.twimg.com/images/themes/theme19/bg.gif</v>
      </c>
      <c r="AW44" s="83" t="b">
        <v>0</v>
      </c>
      <c r="AX44" s="83" t="s">
        <v>2807</v>
      </c>
      <c r="AY44" s="88" t="str">
        <f>HYPERLINK("https://twitter.com/railway_fox")</f>
        <v>https://twitter.com/railway_fox</v>
      </c>
      <c r="AZ44" s="83" t="s">
        <v>66</v>
      </c>
      <c r="BA44" s="2"/>
      <c r="BB44" s="3"/>
      <c r="BC44" s="3"/>
      <c r="BD44" s="3"/>
      <c r="BE44" s="3"/>
    </row>
    <row r="45" spans="1:57" x14ac:dyDescent="0.2">
      <c r="A45" s="69" t="s">
        <v>253</v>
      </c>
      <c r="B45" s="70"/>
      <c r="C45" s="70"/>
      <c r="D45" s="71"/>
      <c r="E45" s="73"/>
      <c r="F45" s="109" t="str">
        <f>HYPERLINK("http://pbs.twimg.com/profile_images/875568445168865280/5TmUiQN__normal.jpg")</f>
        <v>http://pbs.twimg.com/profile_images/875568445168865280/5TmUiQN__normal.jpg</v>
      </c>
      <c r="G45" s="70"/>
      <c r="H45" s="74"/>
      <c r="I45" s="75"/>
      <c r="J45" s="75"/>
      <c r="K45" s="74" t="s">
        <v>2849</v>
      </c>
      <c r="L45" s="78"/>
      <c r="M45" s="79"/>
      <c r="N45" s="79"/>
      <c r="O45" s="80"/>
      <c r="P45" s="81"/>
      <c r="Q45" s="81"/>
      <c r="R45" s="93"/>
      <c r="S45" s="93"/>
      <c r="T45" s="93"/>
      <c r="U45" s="93"/>
      <c r="V45" s="52"/>
      <c r="W45" s="52"/>
      <c r="X45" s="52"/>
      <c r="Y45" s="52"/>
      <c r="Z45" s="51"/>
      <c r="AA45" s="76"/>
      <c r="AB45" s="76"/>
      <c r="AC45" s="77"/>
      <c r="AD45" s="83" t="s">
        <v>1874</v>
      </c>
      <c r="AE45" s="91" t="s">
        <v>2144</v>
      </c>
      <c r="AF45" s="83">
        <v>644</v>
      </c>
      <c r="AG45" s="83">
        <v>695</v>
      </c>
      <c r="AH45" s="83">
        <v>62561</v>
      </c>
      <c r="AI45" s="83">
        <v>19927</v>
      </c>
      <c r="AJ45" s="83"/>
      <c r="AK45" s="83" t="s">
        <v>2406</v>
      </c>
      <c r="AL45" s="83"/>
      <c r="AM45" s="88" t="str">
        <f>HYPERLINK("https://t.co/GT5z4o6pWJ")</f>
        <v>https://t.co/GT5z4o6pWJ</v>
      </c>
      <c r="AN45" s="83"/>
      <c r="AO45" s="85">
        <v>41637.655555555553</v>
      </c>
      <c r="AP45" s="88" t="str">
        <f>HYPERLINK("https://pbs.twimg.com/profile_banners/2267557250/1388338099")</f>
        <v>https://pbs.twimg.com/profile_banners/2267557250/1388338099</v>
      </c>
      <c r="AQ45" s="83" t="b">
        <v>0</v>
      </c>
      <c r="AR45" s="83" t="b">
        <v>0</v>
      </c>
      <c r="AS45" s="83" t="b">
        <v>0</v>
      </c>
      <c r="AT45" s="83"/>
      <c r="AU45" s="83">
        <v>23</v>
      </c>
      <c r="AV45" s="88" t="str">
        <f>HYPERLINK("http://abs.twimg.com/images/themes/theme1/bg.png")</f>
        <v>http://abs.twimg.com/images/themes/theme1/bg.png</v>
      </c>
      <c r="AW45" s="83" t="b">
        <v>0</v>
      </c>
      <c r="AX45" s="83" t="s">
        <v>2807</v>
      </c>
      <c r="AY45" s="88" t="str">
        <f>HYPERLINK("https://twitter.com/magi_touhou298")</f>
        <v>https://twitter.com/magi_touhou298</v>
      </c>
      <c r="AZ45" s="83" t="s">
        <v>66</v>
      </c>
      <c r="BA45" s="2"/>
      <c r="BB45" s="3"/>
      <c r="BC45" s="3"/>
      <c r="BD45" s="3"/>
      <c r="BE45" s="3"/>
    </row>
    <row r="46" spans="1:57" x14ac:dyDescent="0.2">
      <c r="A46" s="69" t="s">
        <v>254</v>
      </c>
      <c r="B46" s="70"/>
      <c r="C46" s="70"/>
      <c r="D46" s="71"/>
      <c r="E46" s="73"/>
      <c r="F46" s="109" t="str">
        <f>HYPERLINK("http://pbs.twimg.com/profile_images/1270821329730756608/NmvU3CBn_normal.jpg")</f>
        <v>http://pbs.twimg.com/profile_images/1270821329730756608/NmvU3CBn_normal.jpg</v>
      </c>
      <c r="G46" s="70"/>
      <c r="H46" s="74"/>
      <c r="I46" s="75"/>
      <c r="J46" s="75"/>
      <c r="K46" s="74" t="s">
        <v>2850</v>
      </c>
      <c r="L46" s="78"/>
      <c r="M46" s="79"/>
      <c r="N46" s="79"/>
      <c r="O46" s="80"/>
      <c r="P46" s="81"/>
      <c r="Q46" s="81"/>
      <c r="R46" s="93"/>
      <c r="S46" s="93"/>
      <c r="T46" s="93"/>
      <c r="U46" s="93"/>
      <c r="V46" s="52"/>
      <c r="W46" s="52"/>
      <c r="X46" s="52"/>
      <c r="Y46" s="52"/>
      <c r="Z46" s="51"/>
      <c r="AA46" s="76"/>
      <c r="AB46" s="76"/>
      <c r="AC46" s="77"/>
      <c r="AD46" s="83" t="s">
        <v>1875</v>
      </c>
      <c r="AE46" s="91" t="s">
        <v>2145</v>
      </c>
      <c r="AF46" s="83">
        <v>1207</v>
      </c>
      <c r="AG46" s="83">
        <v>1632</v>
      </c>
      <c r="AH46" s="83">
        <v>38802</v>
      </c>
      <c r="AI46" s="83">
        <v>23854</v>
      </c>
      <c r="AJ46" s="83"/>
      <c r="AK46" s="83" t="s">
        <v>2407</v>
      </c>
      <c r="AL46" s="83" t="s">
        <v>2663</v>
      </c>
      <c r="AM46" s="83"/>
      <c r="AN46" s="83"/>
      <c r="AO46" s="85">
        <v>42207.932395833333</v>
      </c>
      <c r="AP46" s="88" t="str">
        <f>HYPERLINK("https://pbs.twimg.com/profile_banners/3388074669/1591804751")</f>
        <v>https://pbs.twimg.com/profile_banners/3388074669/1591804751</v>
      </c>
      <c r="AQ46" s="83" t="b">
        <v>0</v>
      </c>
      <c r="AR46" s="83" t="b">
        <v>0</v>
      </c>
      <c r="AS46" s="83" t="b">
        <v>0</v>
      </c>
      <c r="AT46" s="83"/>
      <c r="AU46" s="83">
        <v>18</v>
      </c>
      <c r="AV46" s="88" t="str">
        <f>HYPERLINK("http://abs.twimg.com/images/themes/theme1/bg.png")</f>
        <v>http://abs.twimg.com/images/themes/theme1/bg.png</v>
      </c>
      <c r="AW46" s="83" t="b">
        <v>0</v>
      </c>
      <c r="AX46" s="83" t="s">
        <v>2807</v>
      </c>
      <c r="AY46" s="88" t="str">
        <f>HYPERLINK("https://twitter.com/twitrpartner")</f>
        <v>https://twitter.com/twitrpartner</v>
      </c>
      <c r="AZ46" s="83" t="s">
        <v>66</v>
      </c>
      <c r="BA46" s="2"/>
      <c r="BB46" s="3"/>
      <c r="BC46" s="3"/>
      <c r="BD46" s="3"/>
      <c r="BE46" s="3"/>
    </row>
    <row r="47" spans="1:57" x14ac:dyDescent="0.2">
      <c r="A47" s="69" t="s">
        <v>255</v>
      </c>
      <c r="B47" s="70"/>
      <c r="C47" s="70"/>
      <c r="D47" s="71"/>
      <c r="E47" s="73"/>
      <c r="F47" s="109" t="str">
        <f>HYPERLINK("http://pbs.twimg.com/profile_images/1142912663258898432/-YML5tWG_normal.jpg")</f>
        <v>http://pbs.twimg.com/profile_images/1142912663258898432/-YML5tWG_normal.jpg</v>
      </c>
      <c r="G47" s="70"/>
      <c r="H47" s="74"/>
      <c r="I47" s="75"/>
      <c r="J47" s="75"/>
      <c r="K47" s="74" t="s">
        <v>2851</v>
      </c>
      <c r="L47" s="78"/>
      <c r="M47" s="79"/>
      <c r="N47" s="79"/>
      <c r="O47" s="80"/>
      <c r="P47" s="81"/>
      <c r="Q47" s="81"/>
      <c r="R47" s="93"/>
      <c r="S47" s="93"/>
      <c r="T47" s="93"/>
      <c r="U47" s="93"/>
      <c r="V47" s="52"/>
      <c r="W47" s="52"/>
      <c r="X47" s="52"/>
      <c r="Y47" s="52"/>
      <c r="Z47" s="51"/>
      <c r="AA47" s="76"/>
      <c r="AB47" s="76"/>
      <c r="AC47" s="77"/>
      <c r="AD47" s="83" t="s">
        <v>1876</v>
      </c>
      <c r="AE47" s="91" t="s">
        <v>2146</v>
      </c>
      <c r="AF47" s="83">
        <v>3816</v>
      </c>
      <c r="AG47" s="83">
        <v>8359</v>
      </c>
      <c r="AH47" s="83">
        <v>154068</v>
      </c>
      <c r="AI47" s="83">
        <v>97160</v>
      </c>
      <c r="AJ47" s="83"/>
      <c r="AK47" s="83" t="s">
        <v>2408</v>
      </c>
      <c r="AL47" s="83" t="s">
        <v>2664</v>
      </c>
      <c r="AM47" s="88" t="str">
        <f>HYPERLINK("https://t.co/YOePZzYbED")</f>
        <v>https://t.co/YOePZzYbED</v>
      </c>
      <c r="AN47" s="83"/>
      <c r="AO47" s="85">
        <v>40560.925578703704</v>
      </c>
      <c r="AP47" s="88" t="str">
        <f>HYPERLINK("https://pbs.twimg.com/profile_banners/239555374/1561326589")</f>
        <v>https://pbs.twimg.com/profile_banners/239555374/1561326589</v>
      </c>
      <c r="AQ47" s="83" t="b">
        <v>1</v>
      </c>
      <c r="AR47" s="83" t="b">
        <v>0</v>
      </c>
      <c r="AS47" s="83" t="b">
        <v>0</v>
      </c>
      <c r="AT47" s="83"/>
      <c r="AU47" s="83">
        <v>1147</v>
      </c>
      <c r="AV47" s="88" t="str">
        <f>HYPERLINK("http://abs.twimg.com/images/themes/theme1/bg.png")</f>
        <v>http://abs.twimg.com/images/themes/theme1/bg.png</v>
      </c>
      <c r="AW47" s="83" t="b">
        <v>0</v>
      </c>
      <c r="AX47" s="83" t="s">
        <v>2807</v>
      </c>
      <c r="AY47" s="88" t="str">
        <f>HYPERLINK("https://twitter.com/lyndilane")</f>
        <v>https://twitter.com/lyndilane</v>
      </c>
      <c r="AZ47" s="83" t="s">
        <v>66</v>
      </c>
      <c r="BA47" s="2"/>
      <c r="BB47" s="3"/>
      <c r="BC47" s="3"/>
      <c r="BD47" s="3"/>
      <c r="BE47" s="3"/>
    </row>
    <row r="48" spans="1:57" x14ac:dyDescent="0.2">
      <c r="A48" s="69" t="s">
        <v>256</v>
      </c>
      <c r="B48" s="70"/>
      <c r="C48" s="70"/>
      <c r="D48" s="71"/>
      <c r="E48" s="73"/>
      <c r="F48" s="109" t="str">
        <f>HYPERLINK("http://abs.twimg.com/sticky/default_profile_images/default_profile_normal.png")</f>
        <v>http://abs.twimg.com/sticky/default_profile_images/default_profile_normal.png</v>
      </c>
      <c r="G48" s="70"/>
      <c r="H48" s="74"/>
      <c r="I48" s="75"/>
      <c r="J48" s="75"/>
      <c r="K48" s="74" t="s">
        <v>2852</v>
      </c>
      <c r="L48" s="78"/>
      <c r="M48" s="79"/>
      <c r="N48" s="79"/>
      <c r="O48" s="80"/>
      <c r="P48" s="81"/>
      <c r="Q48" s="81"/>
      <c r="R48" s="93"/>
      <c r="S48" s="93"/>
      <c r="T48" s="93"/>
      <c r="U48" s="93"/>
      <c r="V48" s="52"/>
      <c r="W48" s="52"/>
      <c r="X48" s="52"/>
      <c r="Y48" s="52"/>
      <c r="Z48" s="51"/>
      <c r="AA48" s="76"/>
      <c r="AB48" s="76"/>
      <c r="AC48" s="77"/>
      <c r="AD48" s="83" t="s">
        <v>1877</v>
      </c>
      <c r="AE48" s="91" t="s">
        <v>2147</v>
      </c>
      <c r="AF48" s="83">
        <v>2997</v>
      </c>
      <c r="AG48" s="83">
        <v>3135</v>
      </c>
      <c r="AH48" s="83">
        <v>62232</v>
      </c>
      <c r="AI48" s="83">
        <v>2741</v>
      </c>
      <c r="AJ48" s="83"/>
      <c r="AK48" s="83" t="s">
        <v>2409</v>
      </c>
      <c r="AL48" s="83" t="s">
        <v>2665</v>
      </c>
      <c r="AM48" s="83"/>
      <c r="AN48" s="83"/>
      <c r="AO48" s="85">
        <v>41540.090532407405</v>
      </c>
      <c r="AP48" s="88" t="str">
        <f>HYPERLINK("https://pbs.twimg.com/profile_banners/1895843192/1505000511")</f>
        <v>https://pbs.twimg.com/profile_banners/1895843192/1505000511</v>
      </c>
      <c r="AQ48" s="83" t="b">
        <v>0</v>
      </c>
      <c r="AR48" s="83" t="b">
        <v>1</v>
      </c>
      <c r="AS48" s="83" t="b">
        <v>0</v>
      </c>
      <c r="AT48" s="83"/>
      <c r="AU48" s="83">
        <v>22</v>
      </c>
      <c r="AV48" s="88" t="str">
        <f>HYPERLINK("http://abs.twimg.com/images/themes/theme1/bg.png")</f>
        <v>http://abs.twimg.com/images/themes/theme1/bg.png</v>
      </c>
      <c r="AW48" s="83" t="b">
        <v>0</v>
      </c>
      <c r="AX48" s="83" t="s">
        <v>2807</v>
      </c>
      <c r="AY48" s="88" t="str">
        <f>HYPERLINK("https://twitter.com/marilou858")</f>
        <v>https://twitter.com/marilou858</v>
      </c>
      <c r="AZ48" s="83" t="s">
        <v>66</v>
      </c>
      <c r="BA48" s="2"/>
      <c r="BB48" s="3"/>
      <c r="BC48" s="3"/>
      <c r="BD48" s="3"/>
      <c r="BE48" s="3"/>
    </row>
    <row r="49" spans="1:57" x14ac:dyDescent="0.2">
      <c r="A49" s="69" t="s">
        <v>257</v>
      </c>
      <c r="B49" s="70"/>
      <c r="C49" s="70"/>
      <c r="D49" s="71"/>
      <c r="E49" s="73"/>
      <c r="F49" s="109" t="str">
        <f>HYPERLINK("http://pbs.twimg.com/profile_images/1258259348834279424/kNbWDrk4_normal.jpg")</f>
        <v>http://pbs.twimg.com/profile_images/1258259348834279424/kNbWDrk4_normal.jpg</v>
      </c>
      <c r="G49" s="70"/>
      <c r="H49" s="74"/>
      <c r="I49" s="75"/>
      <c r="J49" s="75"/>
      <c r="K49" s="74" t="s">
        <v>2853</v>
      </c>
      <c r="L49" s="78"/>
      <c r="M49" s="79"/>
      <c r="N49" s="79"/>
      <c r="O49" s="80"/>
      <c r="P49" s="81"/>
      <c r="Q49" s="81"/>
      <c r="R49" s="93"/>
      <c r="S49" s="93"/>
      <c r="T49" s="93"/>
      <c r="U49" s="93"/>
      <c r="V49" s="52"/>
      <c r="W49" s="52"/>
      <c r="X49" s="52"/>
      <c r="Y49" s="52"/>
      <c r="Z49" s="51"/>
      <c r="AA49" s="76"/>
      <c r="AB49" s="76"/>
      <c r="AC49" s="77"/>
      <c r="AD49" s="83" t="s">
        <v>1878</v>
      </c>
      <c r="AE49" s="91" t="s">
        <v>2148</v>
      </c>
      <c r="AF49" s="83">
        <v>39</v>
      </c>
      <c r="AG49" s="83">
        <v>30</v>
      </c>
      <c r="AH49" s="83">
        <v>475</v>
      </c>
      <c r="AI49" s="83">
        <v>1832</v>
      </c>
      <c r="AJ49" s="83"/>
      <c r="AK49" s="83" t="s">
        <v>2410</v>
      </c>
      <c r="AL49" s="83"/>
      <c r="AM49" s="83"/>
      <c r="AN49" s="83"/>
      <c r="AO49" s="85">
        <v>41919.476886574077</v>
      </c>
      <c r="AP49" s="88" t="str">
        <f>HYPERLINK("https://pbs.twimg.com/profile_banners/2843469230/1412681816")</f>
        <v>https://pbs.twimg.com/profile_banners/2843469230/1412681816</v>
      </c>
      <c r="AQ49" s="83" t="b">
        <v>1</v>
      </c>
      <c r="AR49" s="83" t="b">
        <v>0</v>
      </c>
      <c r="AS49" s="83" t="b">
        <v>0</v>
      </c>
      <c r="AT49" s="83"/>
      <c r="AU49" s="83">
        <v>0</v>
      </c>
      <c r="AV49" s="88" t="str">
        <f>HYPERLINK("http://abs.twimg.com/images/themes/theme1/bg.png")</f>
        <v>http://abs.twimg.com/images/themes/theme1/bg.png</v>
      </c>
      <c r="AW49" s="83" t="b">
        <v>0</v>
      </c>
      <c r="AX49" s="83" t="s">
        <v>2807</v>
      </c>
      <c r="AY49" s="88" t="str">
        <f>HYPERLINK("https://twitter.com/suzu373737")</f>
        <v>https://twitter.com/suzu373737</v>
      </c>
      <c r="AZ49" s="83" t="s">
        <v>66</v>
      </c>
      <c r="BA49" s="2"/>
      <c r="BB49" s="3"/>
      <c r="BC49" s="3"/>
      <c r="BD49" s="3"/>
      <c r="BE49" s="3"/>
    </row>
    <row r="50" spans="1:57" x14ac:dyDescent="0.2">
      <c r="A50" s="69" t="s">
        <v>258</v>
      </c>
      <c r="B50" s="70"/>
      <c r="C50" s="70"/>
      <c r="D50" s="71"/>
      <c r="E50" s="73"/>
      <c r="F50" s="109" t="str">
        <f>HYPERLINK("http://pbs.twimg.com/profile_images/1212100775767203840/YdDlvpLz_normal.jpg")</f>
        <v>http://pbs.twimg.com/profile_images/1212100775767203840/YdDlvpLz_normal.jpg</v>
      </c>
      <c r="G50" s="70"/>
      <c r="H50" s="74"/>
      <c r="I50" s="75"/>
      <c r="J50" s="75"/>
      <c r="K50" s="74" t="s">
        <v>2854</v>
      </c>
      <c r="L50" s="78"/>
      <c r="M50" s="79"/>
      <c r="N50" s="79"/>
      <c r="O50" s="80"/>
      <c r="P50" s="81"/>
      <c r="Q50" s="81"/>
      <c r="R50" s="93"/>
      <c r="S50" s="93"/>
      <c r="T50" s="93"/>
      <c r="U50" s="93"/>
      <c r="V50" s="52"/>
      <c r="W50" s="52"/>
      <c r="X50" s="52"/>
      <c r="Y50" s="52"/>
      <c r="Z50" s="51"/>
      <c r="AA50" s="76"/>
      <c r="AB50" s="76"/>
      <c r="AC50" s="77"/>
      <c r="AD50" s="83" t="s">
        <v>1879</v>
      </c>
      <c r="AE50" s="91" t="s">
        <v>2149</v>
      </c>
      <c r="AF50" s="83">
        <v>468</v>
      </c>
      <c r="AG50" s="83">
        <v>262</v>
      </c>
      <c r="AH50" s="83">
        <v>27121</v>
      </c>
      <c r="AI50" s="83">
        <v>12294</v>
      </c>
      <c r="AJ50" s="83"/>
      <c r="AK50" s="83" t="s">
        <v>2411</v>
      </c>
      <c r="AL50" s="83" t="s">
        <v>2666</v>
      </c>
      <c r="AM50" s="88" t="str">
        <f>HYPERLINK("https://t.co/W5yaWrheDB")</f>
        <v>https://t.co/W5yaWrheDB</v>
      </c>
      <c r="AN50" s="83"/>
      <c r="AO50" s="85">
        <v>42807.721354166664</v>
      </c>
      <c r="AP50" s="88" t="str">
        <f>HYPERLINK("https://pbs.twimg.com/profile_banners/841337749172965376/1522649875")</f>
        <v>https://pbs.twimg.com/profile_banners/841337749172965376/1522649875</v>
      </c>
      <c r="AQ50" s="83" t="b">
        <v>1</v>
      </c>
      <c r="AR50" s="83" t="b">
        <v>0</v>
      </c>
      <c r="AS50" s="83" t="b">
        <v>0</v>
      </c>
      <c r="AT50" s="83"/>
      <c r="AU50" s="83">
        <v>0</v>
      </c>
      <c r="AV50" s="83"/>
      <c r="AW50" s="83" t="b">
        <v>0</v>
      </c>
      <c r="AX50" s="83" t="s">
        <v>2807</v>
      </c>
      <c r="AY50" s="88" t="str">
        <f>HYPERLINK("https://twitter.com/raymarines")</f>
        <v>https://twitter.com/raymarines</v>
      </c>
      <c r="AZ50" s="83" t="s">
        <v>66</v>
      </c>
      <c r="BA50" s="2"/>
      <c r="BB50" s="3"/>
      <c r="BC50" s="3"/>
      <c r="BD50" s="3"/>
      <c r="BE50" s="3"/>
    </row>
    <row r="51" spans="1:57" x14ac:dyDescent="0.2">
      <c r="A51" s="69" t="s">
        <v>259</v>
      </c>
      <c r="B51" s="70"/>
      <c r="C51" s="70"/>
      <c r="D51" s="71"/>
      <c r="E51" s="73"/>
      <c r="F51" s="109" t="str">
        <f>HYPERLINK("http://pbs.twimg.com/profile_images/1271391800675241987/gDNo8MvZ_normal.jpg")</f>
        <v>http://pbs.twimg.com/profile_images/1271391800675241987/gDNo8MvZ_normal.jpg</v>
      </c>
      <c r="G51" s="70"/>
      <c r="H51" s="74"/>
      <c r="I51" s="75"/>
      <c r="J51" s="75"/>
      <c r="K51" s="74" t="s">
        <v>2855</v>
      </c>
      <c r="L51" s="78"/>
      <c r="M51" s="79"/>
      <c r="N51" s="79"/>
      <c r="O51" s="80"/>
      <c r="P51" s="81"/>
      <c r="Q51" s="81"/>
      <c r="R51" s="93"/>
      <c r="S51" s="93"/>
      <c r="T51" s="93"/>
      <c r="U51" s="93"/>
      <c r="V51" s="52"/>
      <c r="W51" s="52"/>
      <c r="X51" s="52"/>
      <c r="Y51" s="52"/>
      <c r="Z51" s="51"/>
      <c r="AA51" s="76"/>
      <c r="AB51" s="76"/>
      <c r="AC51" s="77"/>
      <c r="AD51" s="83" t="s">
        <v>1880</v>
      </c>
      <c r="AE51" s="91" t="s">
        <v>2150</v>
      </c>
      <c r="AF51" s="83">
        <v>21</v>
      </c>
      <c r="AG51" s="83">
        <v>7</v>
      </c>
      <c r="AH51" s="83">
        <v>793</v>
      </c>
      <c r="AI51" s="83">
        <v>274</v>
      </c>
      <c r="AJ51" s="83"/>
      <c r="AK51" s="83"/>
      <c r="AL51" s="83" t="s">
        <v>2667</v>
      </c>
      <c r="AM51" s="83"/>
      <c r="AN51" s="83"/>
      <c r="AO51" s="85">
        <v>43945.431793981479</v>
      </c>
      <c r="AP51" s="83"/>
      <c r="AQ51" s="83" t="b">
        <v>1</v>
      </c>
      <c r="AR51" s="83" t="b">
        <v>0</v>
      </c>
      <c r="AS51" s="83" t="b">
        <v>0</v>
      </c>
      <c r="AT51" s="83"/>
      <c r="AU51" s="83">
        <v>0</v>
      </c>
      <c r="AV51" s="83"/>
      <c r="AW51" s="83" t="b">
        <v>0</v>
      </c>
      <c r="AX51" s="83" t="s">
        <v>2807</v>
      </c>
      <c r="AY51" s="88" t="str">
        <f>HYPERLINK("https://twitter.com/elgranuja84")</f>
        <v>https://twitter.com/elgranuja84</v>
      </c>
      <c r="AZ51" s="83" t="s">
        <v>66</v>
      </c>
      <c r="BA51" s="2"/>
      <c r="BB51" s="3"/>
      <c r="BC51" s="3"/>
      <c r="BD51" s="3"/>
      <c r="BE51" s="3"/>
    </row>
    <row r="52" spans="1:57" x14ac:dyDescent="0.2">
      <c r="A52" s="69" t="s">
        <v>260</v>
      </c>
      <c r="B52" s="70"/>
      <c r="C52" s="70"/>
      <c r="D52" s="71"/>
      <c r="E52" s="73"/>
      <c r="F52" s="109" t="str">
        <f>HYPERLINK("http://pbs.twimg.com/profile_images/713412359318929408/k2-xh3CX_normal.jpg")</f>
        <v>http://pbs.twimg.com/profile_images/713412359318929408/k2-xh3CX_normal.jpg</v>
      </c>
      <c r="G52" s="70"/>
      <c r="H52" s="74"/>
      <c r="I52" s="75"/>
      <c r="J52" s="75"/>
      <c r="K52" s="74" t="s">
        <v>2856</v>
      </c>
      <c r="L52" s="78"/>
      <c r="M52" s="79"/>
      <c r="N52" s="79"/>
      <c r="O52" s="80"/>
      <c r="P52" s="81"/>
      <c r="Q52" s="81"/>
      <c r="R52" s="93"/>
      <c r="S52" s="93"/>
      <c r="T52" s="93"/>
      <c r="U52" s="93"/>
      <c r="V52" s="52"/>
      <c r="W52" s="52"/>
      <c r="X52" s="52"/>
      <c r="Y52" s="52"/>
      <c r="Z52" s="51"/>
      <c r="AA52" s="76"/>
      <c r="AB52" s="76"/>
      <c r="AC52" s="77"/>
      <c r="AD52" s="83" t="s">
        <v>1881</v>
      </c>
      <c r="AE52" s="91" t="s">
        <v>2151</v>
      </c>
      <c r="AF52" s="83">
        <v>479</v>
      </c>
      <c r="AG52" s="83">
        <v>62</v>
      </c>
      <c r="AH52" s="83">
        <v>13005</v>
      </c>
      <c r="AI52" s="83">
        <v>44617</v>
      </c>
      <c r="AJ52" s="83"/>
      <c r="AK52" s="83" t="s">
        <v>2412</v>
      </c>
      <c r="AL52" s="83" t="s">
        <v>2668</v>
      </c>
      <c r="AM52" s="83"/>
      <c r="AN52" s="83"/>
      <c r="AO52" s="85">
        <v>40299.641585648147</v>
      </c>
      <c r="AP52" s="88" t="str">
        <f>HYPERLINK("https://pbs.twimg.com/profile_banners/139107388/1481082604")</f>
        <v>https://pbs.twimg.com/profile_banners/139107388/1481082604</v>
      </c>
      <c r="AQ52" s="83" t="b">
        <v>0</v>
      </c>
      <c r="AR52" s="83" t="b">
        <v>0</v>
      </c>
      <c r="AS52" s="83" t="b">
        <v>0</v>
      </c>
      <c r="AT52" s="83"/>
      <c r="AU52" s="83">
        <v>2</v>
      </c>
      <c r="AV52" s="88" t="str">
        <f>HYPERLINK("http://abs.twimg.com/images/themes/theme1/bg.png")</f>
        <v>http://abs.twimg.com/images/themes/theme1/bg.png</v>
      </c>
      <c r="AW52" s="83" t="b">
        <v>0</v>
      </c>
      <c r="AX52" s="83" t="s">
        <v>2807</v>
      </c>
      <c r="AY52" s="88" t="str">
        <f>HYPERLINK("https://twitter.com/o0e_k0o")</f>
        <v>https://twitter.com/o0e_k0o</v>
      </c>
      <c r="AZ52" s="83" t="s">
        <v>66</v>
      </c>
      <c r="BA52" s="2"/>
      <c r="BB52" s="3"/>
      <c r="BC52" s="3"/>
      <c r="BD52" s="3"/>
      <c r="BE52" s="3"/>
    </row>
    <row r="53" spans="1:57" x14ac:dyDescent="0.2">
      <c r="A53" s="69" t="s">
        <v>261</v>
      </c>
      <c r="B53" s="70"/>
      <c r="C53" s="70"/>
      <c r="D53" s="71"/>
      <c r="E53" s="73"/>
      <c r="F53" s="109" t="str">
        <f>HYPERLINK("http://pbs.twimg.com/profile_images/772214712255655936/s6A7GPRO_normal.jpg")</f>
        <v>http://pbs.twimg.com/profile_images/772214712255655936/s6A7GPRO_normal.jpg</v>
      </c>
      <c r="G53" s="70"/>
      <c r="H53" s="74"/>
      <c r="I53" s="75"/>
      <c r="J53" s="75"/>
      <c r="K53" s="74" t="s">
        <v>2857</v>
      </c>
      <c r="L53" s="78"/>
      <c r="M53" s="79"/>
      <c r="N53" s="79"/>
      <c r="O53" s="80"/>
      <c r="P53" s="81"/>
      <c r="Q53" s="81"/>
      <c r="R53" s="93"/>
      <c r="S53" s="93"/>
      <c r="T53" s="93"/>
      <c r="U53" s="93"/>
      <c r="V53" s="52"/>
      <c r="W53" s="52"/>
      <c r="X53" s="52"/>
      <c r="Y53" s="52"/>
      <c r="Z53" s="51"/>
      <c r="AA53" s="76"/>
      <c r="AB53" s="76"/>
      <c r="AC53" s="77"/>
      <c r="AD53" s="83" t="s">
        <v>1882</v>
      </c>
      <c r="AE53" s="91" t="s">
        <v>1728</v>
      </c>
      <c r="AF53" s="83">
        <v>301</v>
      </c>
      <c r="AG53" s="83">
        <v>185</v>
      </c>
      <c r="AH53" s="83">
        <v>528</v>
      </c>
      <c r="AI53" s="83">
        <v>912</v>
      </c>
      <c r="AJ53" s="83"/>
      <c r="AK53" s="88" t="str">
        <f>HYPERLINK("https://t.co/qnPMeJdjr5…
https://t.co/JYPimz3J8D")</f>
        <v>https://t.co/qnPMeJdjr5…
https://t.co/JYPimz3J8D</v>
      </c>
      <c r="AL53" s="83"/>
      <c r="AM53" s="83"/>
      <c r="AN53" s="83"/>
      <c r="AO53" s="85">
        <v>42608.457627314812</v>
      </c>
      <c r="AP53" s="88" t="str">
        <f>HYPERLINK("https://pbs.twimg.com/profile_banners/769126994470514688/1525358940")</f>
        <v>https://pbs.twimg.com/profile_banners/769126994470514688/1525358940</v>
      </c>
      <c r="AQ53" s="83" t="b">
        <v>0</v>
      </c>
      <c r="AR53" s="83" t="b">
        <v>0</v>
      </c>
      <c r="AS53" s="83" t="b">
        <v>1</v>
      </c>
      <c r="AT53" s="83"/>
      <c r="AU53" s="83">
        <v>5</v>
      </c>
      <c r="AV53" s="88" t="str">
        <f>HYPERLINK("http://abs.twimg.com/images/themes/theme1/bg.png")</f>
        <v>http://abs.twimg.com/images/themes/theme1/bg.png</v>
      </c>
      <c r="AW53" s="83" t="b">
        <v>0</v>
      </c>
      <c r="AX53" s="83" t="s">
        <v>2807</v>
      </c>
      <c r="AY53" s="88" t="str">
        <f>HYPERLINK("https://twitter.com/katopsingress")</f>
        <v>https://twitter.com/katopsingress</v>
      </c>
      <c r="AZ53" s="83" t="s">
        <v>66</v>
      </c>
      <c r="BA53" s="2"/>
      <c r="BB53" s="3"/>
      <c r="BC53" s="3"/>
      <c r="BD53" s="3"/>
      <c r="BE53" s="3"/>
    </row>
    <row r="54" spans="1:57" x14ac:dyDescent="0.2">
      <c r="A54" s="69" t="s">
        <v>262</v>
      </c>
      <c r="B54" s="70"/>
      <c r="C54" s="70"/>
      <c r="D54" s="71"/>
      <c r="E54" s="73"/>
      <c r="F54" s="109" t="str">
        <f>HYPERLINK("http://pbs.twimg.com/profile_images/3149762076/db15cdaa55f48387ae703c4857ea7ed0_normal.jpeg")</f>
        <v>http://pbs.twimg.com/profile_images/3149762076/db15cdaa55f48387ae703c4857ea7ed0_normal.jpeg</v>
      </c>
      <c r="G54" s="70"/>
      <c r="H54" s="74"/>
      <c r="I54" s="75"/>
      <c r="J54" s="75"/>
      <c r="K54" s="74" t="s">
        <v>2858</v>
      </c>
      <c r="L54" s="78"/>
      <c r="M54" s="79"/>
      <c r="N54" s="79"/>
      <c r="O54" s="80"/>
      <c r="P54" s="81"/>
      <c r="Q54" s="81"/>
      <c r="R54" s="93"/>
      <c r="S54" s="93"/>
      <c r="T54" s="93"/>
      <c r="U54" s="93"/>
      <c r="V54" s="52"/>
      <c r="W54" s="52"/>
      <c r="X54" s="52"/>
      <c r="Y54" s="52"/>
      <c r="Z54" s="51"/>
      <c r="AA54" s="76"/>
      <c r="AB54" s="76"/>
      <c r="AC54" s="77"/>
      <c r="AD54" s="83" t="s">
        <v>262</v>
      </c>
      <c r="AE54" s="91" t="s">
        <v>2152</v>
      </c>
      <c r="AF54" s="83">
        <v>712</v>
      </c>
      <c r="AG54" s="83">
        <v>1048</v>
      </c>
      <c r="AH54" s="83">
        <v>14753</v>
      </c>
      <c r="AI54" s="83">
        <v>15451</v>
      </c>
      <c r="AJ54" s="83"/>
      <c r="AK54" s="83"/>
      <c r="AL54" s="83" t="s">
        <v>2669</v>
      </c>
      <c r="AM54" s="83"/>
      <c r="AN54" s="83"/>
      <c r="AO54" s="85">
        <v>39903.602662037039</v>
      </c>
      <c r="AP54" s="83"/>
      <c r="AQ54" s="83" t="b">
        <v>0</v>
      </c>
      <c r="AR54" s="83" t="b">
        <v>0</v>
      </c>
      <c r="AS54" s="83" t="b">
        <v>0</v>
      </c>
      <c r="AT54" s="83"/>
      <c r="AU54" s="83">
        <v>16</v>
      </c>
      <c r="AV54" s="88" t="str">
        <f>HYPERLINK("http://abs.twimg.com/images/themes/theme4/bg.gif")</f>
        <v>http://abs.twimg.com/images/themes/theme4/bg.gif</v>
      </c>
      <c r="AW54" s="83" t="b">
        <v>0</v>
      </c>
      <c r="AX54" s="83" t="s">
        <v>2807</v>
      </c>
      <c r="AY54" s="88" t="str">
        <f>HYPERLINK("https://twitter.com/pollinisation")</f>
        <v>https://twitter.com/pollinisation</v>
      </c>
      <c r="AZ54" s="83" t="s">
        <v>66</v>
      </c>
      <c r="BA54" s="2"/>
      <c r="BB54" s="3"/>
      <c r="BC54" s="3"/>
      <c r="BD54" s="3"/>
      <c r="BE54" s="3"/>
    </row>
    <row r="55" spans="1:57" x14ac:dyDescent="0.2">
      <c r="A55" s="69" t="s">
        <v>312</v>
      </c>
      <c r="B55" s="70"/>
      <c r="C55" s="70"/>
      <c r="D55" s="71"/>
      <c r="E55" s="73"/>
      <c r="F55" s="109" t="str">
        <f>HYPERLINK("http://pbs.twimg.com/profile_images/1208502191008432133/qWq8nmMH_normal.jpg")</f>
        <v>http://pbs.twimg.com/profile_images/1208502191008432133/qWq8nmMH_normal.jpg</v>
      </c>
      <c r="G55" s="70"/>
      <c r="H55" s="74"/>
      <c r="I55" s="75"/>
      <c r="J55" s="75"/>
      <c r="K55" s="74" t="s">
        <v>2859</v>
      </c>
      <c r="L55" s="78"/>
      <c r="M55" s="79"/>
      <c r="N55" s="79"/>
      <c r="O55" s="80"/>
      <c r="P55" s="81"/>
      <c r="Q55" s="81"/>
      <c r="R55" s="93"/>
      <c r="S55" s="93"/>
      <c r="T55" s="93"/>
      <c r="U55" s="93"/>
      <c r="V55" s="52"/>
      <c r="W55" s="52"/>
      <c r="X55" s="52"/>
      <c r="Y55" s="52"/>
      <c r="Z55" s="51"/>
      <c r="AA55" s="76"/>
      <c r="AB55" s="76"/>
      <c r="AC55" s="77"/>
      <c r="AD55" s="83" t="s">
        <v>1883</v>
      </c>
      <c r="AE55" s="91" t="s">
        <v>2153</v>
      </c>
      <c r="AF55" s="83">
        <v>53</v>
      </c>
      <c r="AG55" s="83">
        <v>62</v>
      </c>
      <c r="AH55" s="83">
        <v>57</v>
      </c>
      <c r="AI55" s="83">
        <v>16</v>
      </c>
      <c r="AJ55" s="83"/>
      <c r="AK55" s="83" t="s">
        <v>2413</v>
      </c>
      <c r="AL55" s="83" t="s">
        <v>2670</v>
      </c>
      <c r="AM55" s="83"/>
      <c r="AN55" s="83"/>
      <c r="AO55" s="85">
        <v>43813.864745370367</v>
      </c>
      <c r="AP55" s="88" t="str">
        <f>HYPERLINK("https://pbs.twimg.com/profile_banners/1205951824659918848/1590523372")</f>
        <v>https://pbs.twimg.com/profile_banners/1205951824659918848/1590523372</v>
      </c>
      <c r="AQ55" s="83" t="b">
        <v>1</v>
      </c>
      <c r="AR55" s="83" t="b">
        <v>0</v>
      </c>
      <c r="AS55" s="83" t="b">
        <v>0</v>
      </c>
      <c r="AT55" s="83"/>
      <c r="AU55" s="83">
        <v>1</v>
      </c>
      <c r="AV55" s="83"/>
      <c r="AW55" s="83" t="b">
        <v>0</v>
      </c>
      <c r="AX55" s="83" t="s">
        <v>2807</v>
      </c>
      <c r="AY55" s="88" t="str">
        <f>HYPERLINK("https://twitter.com/beesstandon")</f>
        <v>https://twitter.com/beesstandon</v>
      </c>
      <c r="AZ55" s="83" t="s">
        <v>66</v>
      </c>
      <c r="BA55" s="2"/>
      <c r="BB55" s="3"/>
      <c r="BC55" s="3"/>
      <c r="BD55" s="3"/>
      <c r="BE55" s="3"/>
    </row>
    <row r="56" spans="1:57" x14ac:dyDescent="0.2">
      <c r="A56" s="69" t="s">
        <v>263</v>
      </c>
      <c r="B56" s="70"/>
      <c r="C56" s="70"/>
      <c r="D56" s="71"/>
      <c r="E56" s="73"/>
      <c r="F56" s="109" t="str">
        <f>HYPERLINK("http://pbs.twimg.com/profile_images/1199803419764154370/qY26rYGV_normal.jpg")</f>
        <v>http://pbs.twimg.com/profile_images/1199803419764154370/qY26rYGV_normal.jpg</v>
      </c>
      <c r="G56" s="70"/>
      <c r="H56" s="74"/>
      <c r="I56" s="75"/>
      <c r="J56" s="75"/>
      <c r="K56" s="74" t="s">
        <v>2860</v>
      </c>
      <c r="L56" s="78"/>
      <c r="M56" s="79"/>
      <c r="N56" s="79"/>
      <c r="O56" s="80"/>
      <c r="P56" s="81"/>
      <c r="Q56" s="81"/>
      <c r="R56" s="93"/>
      <c r="S56" s="93"/>
      <c r="T56" s="93"/>
      <c r="U56" s="93"/>
      <c r="V56" s="52"/>
      <c r="W56" s="52"/>
      <c r="X56" s="52"/>
      <c r="Y56" s="52"/>
      <c r="Z56" s="51"/>
      <c r="AA56" s="76"/>
      <c r="AB56" s="76"/>
      <c r="AC56" s="77"/>
      <c r="AD56" s="83" t="s">
        <v>1884</v>
      </c>
      <c r="AE56" s="91" t="s">
        <v>1729</v>
      </c>
      <c r="AF56" s="83">
        <v>3388</v>
      </c>
      <c r="AG56" s="83">
        <v>2920</v>
      </c>
      <c r="AH56" s="83">
        <v>23866</v>
      </c>
      <c r="AI56" s="83">
        <v>39709</v>
      </c>
      <c r="AJ56" s="83"/>
      <c r="AK56" s="83" t="s">
        <v>2414</v>
      </c>
      <c r="AL56" s="83" t="s">
        <v>2671</v>
      </c>
      <c r="AM56" s="88" t="str">
        <f>HYPERLINK("https://t.co/t9YbqDoPPv")</f>
        <v>https://t.co/t9YbqDoPPv</v>
      </c>
      <c r="AN56" s="83"/>
      <c r="AO56" s="85">
        <v>42968.841620370367</v>
      </c>
      <c r="AP56" s="88" t="str">
        <f>HYPERLINK("https://pbs.twimg.com/profile_banners/899725779629748224/1527973298")</f>
        <v>https://pbs.twimg.com/profile_banners/899725779629748224/1527973298</v>
      </c>
      <c r="AQ56" s="83" t="b">
        <v>1</v>
      </c>
      <c r="AR56" s="83" t="b">
        <v>0</v>
      </c>
      <c r="AS56" s="83" t="b">
        <v>0</v>
      </c>
      <c r="AT56" s="83"/>
      <c r="AU56" s="83">
        <v>11</v>
      </c>
      <c r="AV56" s="83"/>
      <c r="AW56" s="83" t="b">
        <v>0</v>
      </c>
      <c r="AX56" s="83" t="s">
        <v>2807</v>
      </c>
      <c r="AY56" s="88" t="str">
        <f>HYPERLINK("https://twitter.com/northroadcycles")</f>
        <v>https://twitter.com/northroadcycles</v>
      </c>
      <c r="AZ56" s="83" t="s">
        <v>66</v>
      </c>
      <c r="BA56" s="2"/>
      <c r="BB56" s="3"/>
      <c r="BC56" s="3"/>
      <c r="BD56" s="3"/>
      <c r="BE56" s="3"/>
    </row>
    <row r="57" spans="1:57" x14ac:dyDescent="0.2">
      <c r="A57" s="69" t="s">
        <v>468</v>
      </c>
      <c r="B57" s="70"/>
      <c r="C57" s="70"/>
      <c r="D57" s="71"/>
      <c r="E57" s="73"/>
      <c r="F57" s="109" t="str">
        <f>HYPERLINK("http://pbs.twimg.com/profile_images/664001972496932864/rnTc8GoC_normal.jpg")</f>
        <v>http://pbs.twimg.com/profile_images/664001972496932864/rnTc8GoC_normal.jpg</v>
      </c>
      <c r="G57" s="70"/>
      <c r="H57" s="74"/>
      <c r="I57" s="75"/>
      <c r="J57" s="75"/>
      <c r="K57" s="74" t="s">
        <v>2861</v>
      </c>
      <c r="L57" s="78"/>
      <c r="M57" s="79"/>
      <c r="N57" s="79"/>
      <c r="O57" s="80"/>
      <c r="P57" s="81"/>
      <c r="Q57" s="81"/>
      <c r="R57" s="93"/>
      <c r="S57" s="93"/>
      <c r="T57" s="93"/>
      <c r="U57" s="93"/>
      <c r="V57" s="52"/>
      <c r="W57" s="52"/>
      <c r="X57" s="52"/>
      <c r="Y57" s="52"/>
      <c r="Z57" s="51"/>
      <c r="AA57" s="76"/>
      <c r="AB57" s="76"/>
      <c r="AC57" s="77"/>
      <c r="AD57" s="83" t="s">
        <v>1885</v>
      </c>
      <c r="AE57" s="91" t="s">
        <v>2154</v>
      </c>
      <c r="AF57" s="83">
        <v>167</v>
      </c>
      <c r="AG57" s="83">
        <v>1046</v>
      </c>
      <c r="AH57" s="83">
        <v>777</v>
      </c>
      <c r="AI57" s="83">
        <v>526</v>
      </c>
      <c r="AJ57" s="83"/>
      <c r="AK57" s="83" t="s">
        <v>2415</v>
      </c>
      <c r="AL57" s="83" t="s">
        <v>2672</v>
      </c>
      <c r="AM57" s="88" t="str">
        <f>HYPERLINK("https://t.co/1R7NZ4tbFg")</f>
        <v>https://t.co/1R7NZ4tbFg</v>
      </c>
      <c r="AN57" s="83"/>
      <c r="AO57" s="85">
        <v>40983.815671296295</v>
      </c>
      <c r="AP57" s="88" t="str">
        <f>HYPERLINK("https://pbs.twimg.com/profile_banners/525680250/1488802470")</f>
        <v>https://pbs.twimg.com/profile_banners/525680250/1488802470</v>
      </c>
      <c r="AQ57" s="83" t="b">
        <v>0</v>
      </c>
      <c r="AR57" s="83" t="b">
        <v>0</v>
      </c>
      <c r="AS57" s="83" t="b">
        <v>0</v>
      </c>
      <c r="AT57" s="83"/>
      <c r="AU57" s="83">
        <v>8</v>
      </c>
      <c r="AV57" s="88" t="str">
        <f>HYPERLINK("http://abs.twimg.com/images/themes/theme1/bg.png")</f>
        <v>http://abs.twimg.com/images/themes/theme1/bg.png</v>
      </c>
      <c r="AW57" s="83" t="b">
        <v>0</v>
      </c>
      <c r="AX57" s="83" t="s">
        <v>2807</v>
      </c>
      <c r="AY57" s="88" t="str">
        <f>HYPERLINK("https://twitter.com/chatwinsbakery")</f>
        <v>https://twitter.com/chatwinsbakery</v>
      </c>
      <c r="AZ57" s="83" t="s">
        <v>65</v>
      </c>
      <c r="BA57" s="2"/>
      <c r="BB57" s="3"/>
      <c r="BC57" s="3"/>
      <c r="BD57" s="3"/>
      <c r="BE57" s="3"/>
    </row>
    <row r="58" spans="1:57" x14ac:dyDescent="0.2">
      <c r="A58" s="69" t="s">
        <v>264</v>
      </c>
      <c r="B58" s="70"/>
      <c r="C58" s="70"/>
      <c r="D58" s="71"/>
      <c r="E58" s="73"/>
      <c r="F58" s="109" t="str">
        <f>HYPERLINK("http://pbs.twimg.com/profile_images/1157661391358181383/X2XPoNLW_normal.jpg")</f>
        <v>http://pbs.twimg.com/profile_images/1157661391358181383/X2XPoNLW_normal.jpg</v>
      </c>
      <c r="G58" s="70"/>
      <c r="H58" s="74"/>
      <c r="I58" s="75"/>
      <c r="J58" s="75"/>
      <c r="K58" s="74" t="s">
        <v>2862</v>
      </c>
      <c r="L58" s="78"/>
      <c r="M58" s="79"/>
      <c r="N58" s="79"/>
      <c r="O58" s="80"/>
      <c r="P58" s="81"/>
      <c r="Q58" s="81"/>
      <c r="R58" s="93"/>
      <c r="S58" s="93"/>
      <c r="T58" s="93"/>
      <c r="U58" s="93"/>
      <c r="V58" s="52"/>
      <c r="W58" s="52"/>
      <c r="X58" s="52"/>
      <c r="Y58" s="52"/>
      <c r="Z58" s="51"/>
      <c r="AA58" s="76"/>
      <c r="AB58" s="76"/>
      <c r="AC58" s="77"/>
      <c r="AD58" s="83" t="s">
        <v>1886</v>
      </c>
      <c r="AE58" s="91" t="s">
        <v>1730</v>
      </c>
      <c r="AF58" s="83">
        <v>1493</v>
      </c>
      <c r="AG58" s="83">
        <v>2358</v>
      </c>
      <c r="AH58" s="83">
        <v>22068</v>
      </c>
      <c r="AI58" s="83">
        <v>26345</v>
      </c>
      <c r="AJ58" s="83"/>
      <c r="AK58" s="83" t="s">
        <v>2416</v>
      </c>
      <c r="AL58" s="83" t="s">
        <v>2673</v>
      </c>
      <c r="AM58" s="88" t="str">
        <f>HYPERLINK("https://t.co/RGpa2HPWSU")</f>
        <v>https://t.co/RGpa2HPWSU</v>
      </c>
      <c r="AN58" s="83"/>
      <c r="AO58" s="85">
        <v>40565.874398148146</v>
      </c>
      <c r="AP58" s="88" t="str">
        <f>HYPERLINK("https://pbs.twimg.com/profile_banners/241666173/1564833064")</f>
        <v>https://pbs.twimg.com/profile_banners/241666173/1564833064</v>
      </c>
      <c r="AQ58" s="83" t="b">
        <v>1</v>
      </c>
      <c r="AR58" s="83" t="b">
        <v>0</v>
      </c>
      <c r="AS58" s="83" t="b">
        <v>1</v>
      </c>
      <c r="AT58" s="83"/>
      <c r="AU58" s="83">
        <v>76</v>
      </c>
      <c r="AV58" s="88" t="str">
        <f>HYPERLINK("http://abs.twimg.com/images/themes/theme1/bg.png")</f>
        <v>http://abs.twimg.com/images/themes/theme1/bg.png</v>
      </c>
      <c r="AW58" s="83" t="b">
        <v>0</v>
      </c>
      <c r="AX58" s="83" t="s">
        <v>2807</v>
      </c>
      <c r="AY58" s="88" t="str">
        <f>HYPERLINK("https://twitter.com/peteswiftysan")</f>
        <v>https://twitter.com/peteswiftysan</v>
      </c>
      <c r="AZ58" s="83" t="s">
        <v>66</v>
      </c>
      <c r="BA58" s="2"/>
      <c r="BB58" s="3"/>
      <c r="BC58" s="3"/>
      <c r="BD58" s="3"/>
      <c r="BE58" s="3"/>
    </row>
    <row r="59" spans="1:57" x14ac:dyDescent="0.2">
      <c r="A59" s="69" t="s">
        <v>469</v>
      </c>
      <c r="B59" s="70"/>
      <c r="C59" s="70"/>
      <c r="D59" s="71"/>
      <c r="E59" s="73"/>
      <c r="F59" s="109" t="str">
        <f>HYPERLINK("http://pbs.twimg.com/profile_images/506389862950252544/sVSOaDyc_normal.jpeg")</f>
        <v>http://pbs.twimg.com/profile_images/506389862950252544/sVSOaDyc_normal.jpeg</v>
      </c>
      <c r="G59" s="70"/>
      <c r="H59" s="74"/>
      <c r="I59" s="75"/>
      <c r="J59" s="75"/>
      <c r="K59" s="74" t="s">
        <v>2863</v>
      </c>
      <c r="L59" s="78"/>
      <c r="M59" s="79"/>
      <c r="N59" s="79"/>
      <c r="O59" s="80"/>
      <c r="P59" s="81"/>
      <c r="Q59" s="81"/>
      <c r="R59" s="93"/>
      <c r="S59" s="93"/>
      <c r="T59" s="93"/>
      <c r="U59" s="93"/>
      <c r="V59" s="52"/>
      <c r="W59" s="52"/>
      <c r="X59" s="52"/>
      <c r="Y59" s="52"/>
      <c r="Z59" s="51"/>
      <c r="AA59" s="76"/>
      <c r="AB59" s="76"/>
      <c r="AC59" s="77"/>
      <c r="AD59" s="83" t="s">
        <v>1887</v>
      </c>
      <c r="AE59" s="91" t="s">
        <v>2155</v>
      </c>
      <c r="AF59" s="83">
        <v>288</v>
      </c>
      <c r="AG59" s="83">
        <v>946</v>
      </c>
      <c r="AH59" s="83">
        <v>1639</v>
      </c>
      <c r="AI59" s="83">
        <v>594</v>
      </c>
      <c r="AJ59" s="83"/>
      <c r="AK59" s="88" t="str">
        <f>HYPERLINK("http://t.co/fOQJ9EXEzb")</f>
        <v>http://t.co/fOQJ9EXEzb</v>
      </c>
      <c r="AL59" s="83"/>
      <c r="AM59" s="88" t="str">
        <f>HYPERLINK("https://t.co/vN0bDDHUK3")</f>
        <v>https://t.co/vN0bDDHUK3</v>
      </c>
      <c r="AN59" s="83"/>
      <c r="AO59" s="85">
        <v>41370.42523148148</v>
      </c>
      <c r="AP59" s="88" t="str">
        <f>HYPERLINK("https://pbs.twimg.com/profile_banners/1331236987/1365506720")</f>
        <v>https://pbs.twimg.com/profile_banners/1331236987/1365506720</v>
      </c>
      <c r="AQ59" s="83" t="b">
        <v>0</v>
      </c>
      <c r="AR59" s="83" t="b">
        <v>0</v>
      </c>
      <c r="AS59" s="83" t="b">
        <v>1</v>
      </c>
      <c r="AT59" s="83"/>
      <c r="AU59" s="83">
        <v>5</v>
      </c>
      <c r="AV59" s="88" t="str">
        <f>HYPERLINK("http://abs.twimg.com/images/themes/theme13/bg.gif")</f>
        <v>http://abs.twimg.com/images/themes/theme13/bg.gif</v>
      </c>
      <c r="AW59" s="83" t="b">
        <v>0</v>
      </c>
      <c r="AX59" s="83" t="s">
        <v>2807</v>
      </c>
      <c r="AY59" s="88" t="str">
        <f>HYPERLINK("https://twitter.com/llangollentic")</f>
        <v>https://twitter.com/llangollentic</v>
      </c>
      <c r="AZ59" s="83" t="s">
        <v>65</v>
      </c>
      <c r="BA59" s="2"/>
      <c r="BB59" s="3"/>
      <c r="BC59" s="3"/>
      <c r="BD59" s="3"/>
      <c r="BE59" s="3"/>
    </row>
    <row r="60" spans="1:57" x14ac:dyDescent="0.2">
      <c r="A60" s="69" t="s">
        <v>265</v>
      </c>
      <c r="B60" s="70"/>
      <c r="C60" s="70"/>
      <c r="D60" s="71"/>
      <c r="E60" s="73"/>
      <c r="F60" s="109" t="str">
        <f>HYPERLINK("http://pbs.twimg.com/profile_images/2777648092/782d85972553269c510517a2708132d8_normal.jpeg")</f>
        <v>http://pbs.twimg.com/profile_images/2777648092/782d85972553269c510517a2708132d8_normal.jpeg</v>
      </c>
      <c r="G60" s="70"/>
      <c r="H60" s="74"/>
      <c r="I60" s="75"/>
      <c r="J60" s="75"/>
      <c r="K60" s="74" t="s">
        <v>2864</v>
      </c>
      <c r="L60" s="78"/>
      <c r="M60" s="79"/>
      <c r="N60" s="79"/>
      <c r="O60" s="80"/>
      <c r="P60" s="81"/>
      <c r="Q60" s="81"/>
      <c r="R60" s="93"/>
      <c r="S60" s="93"/>
      <c r="T60" s="93"/>
      <c r="U60" s="93"/>
      <c r="V60" s="52"/>
      <c r="W60" s="52"/>
      <c r="X60" s="52"/>
      <c r="Y60" s="52"/>
      <c r="Z60" s="51"/>
      <c r="AA60" s="76"/>
      <c r="AB60" s="76"/>
      <c r="AC60" s="77"/>
      <c r="AD60" s="83" t="s">
        <v>1888</v>
      </c>
      <c r="AE60" s="91" t="s">
        <v>2156</v>
      </c>
      <c r="AF60" s="83">
        <v>1328</v>
      </c>
      <c r="AG60" s="83">
        <v>234</v>
      </c>
      <c r="AH60" s="83">
        <v>397</v>
      </c>
      <c r="AI60" s="83">
        <v>0</v>
      </c>
      <c r="AJ60" s="83"/>
      <c r="AK60" s="83" t="s">
        <v>2417</v>
      </c>
      <c r="AL60" s="83"/>
      <c r="AM60" s="88" t="str">
        <f>HYPERLINK("https://t.co/NtyqiLFrgI")</f>
        <v>https://t.co/NtyqiLFrgI</v>
      </c>
      <c r="AN60" s="83"/>
      <c r="AO60" s="85">
        <v>41082.381354166668</v>
      </c>
      <c r="AP60" s="88" t="str">
        <f>HYPERLINK("https://pbs.twimg.com/profile_banners/615000532/1351467623")</f>
        <v>https://pbs.twimg.com/profile_banners/615000532/1351467623</v>
      </c>
      <c r="AQ60" s="83" t="b">
        <v>1</v>
      </c>
      <c r="AR60" s="83" t="b">
        <v>0</v>
      </c>
      <c r="AS60" s="83" t="b">
        <v>0</v>
      </c>
      <c r="AT60" s="83"/>
      <c r="AU60" s="83">
        <v>0</v>
      </c>
      <c r="AV60" s="88" t="str">
        <f>HYPERLINK("http://abs.twimg.com/images/themes/theme1/bg.png")</f>
        <v>http://abs.twimg.com/images/themes/theme1/bg.png</v>
      </c>
      <c r="AW60" s="83" t="b">
        <v>0</v>
      </c>
      <c r="AX60" s="83" t="s">
        <v>2807</v>
      </c>
      <c r="AY60" s="88" t="str">
        <f>HYPERLINK("https://twitter.com/tucentrooptico")</f>
        <v>https://twitter.com/tucentrooptico</v>
      </c>
      <c r="AZ60" s="83" t="s">
        <v>66</v>
      </c>
      <c r="BA60" s="2"/>
      <c r="BB60" s="3"/>
      <c r="BC60" s="3"/>
      <c r="BD60" s="3"/>
      <c r="BE60" s="3"/>
    </row>
    <row r="61" spans="1:57" x14ac:dyDescent="0.2">
      <c r="A61" s="69" t="s">
        <v>266</v>
      </c>
      <c r="B61" s="70"/>
      <c r="C61" s="70"/>
      <c r="D61" s="71"/>
      <c r="E61" s="73"/>
      <c r="F61" s="109" t="str">
        <f>HYPERLINK("http://pbs.twimg.com/profile_images/1158233864122224640/1wvxGjQj_normal.jpg")</f>
        <v>http://pbs.twimg.com/profile_images/1158233864122224640/1wvxGjQj_normal.jpg</v>
      </c>
      <c r="G61" s="70"/>
      <c r="H61" s="74"/>
      <c r="I61" s="75"/>
      <c r="J61" s="75"/>
      <c r="K61" s="74" t="s">
        <v>2865</v>
      </c>
      <c r="L61" s="78"/>
      <c r="M61" s="79"/>
      <c r="N61" s="79"/>
      <c r="O61" s="80"/>
      <c r="P61" s="81"/>
      <c r="Q61" s="81"/>
      <c r="R61" s="93"/>
      <c r="S61" s="93"/>
      <c r="T61" s="93"/>
      <c r="U61" s="93"/>
      <c r="V61" s="52"/>
      <c r="W61" s="52"/>
      <c r="X61" s="52"/>
      <c r="Y61" s="52"/>
      <c r="Z61" s="51"/>
      <c r="AA61" s="76"/>
      <c r="AB61" s="76"/>
      <c r="AC61" s="77"/>
      <c r="AD61" s="83" t="s">
        <v>1889</v>
      </c>
      <c r="AE61" s="91" t="s">
        <v>2157</v>
      </c>
      <c r="AF61" s="83">
        <v>590</v>
      </c>
      <c r="AG61" s="83">
        <v>356</v>
      </c>
      <c r="AH61" s="83">
        <v>16936</v>
      </c>
      <c r="AI61" s="83">
        <v>63990</v>
      </c>
      <c r="AJ61" s="83"/>
      <c r="AK61" s="83" t="s">
        <v>2418</v>
      </c>
      <c r="AL61" s="83" t="s">
        <v>2674</v>
      </c>
      <c r="AM61" s="83"/>
      <c r="AN61" s="83"/>
      <c r="AO61" s="85">
        <v>42447.266053240739</v>
      </c>
      <c r="AP61" s="83"/>
      <c r="AQ61" s="83" t="b">
        <v>0</v>
      </c>
      <c r="AR61" s="83" t="b">
        <v>0</v>
      </c>
      <c r="AS61" s="83" t="b">
        <v>0</v>
      </c>
      <c r="AT61" s="83"/>
      <c r="AU61" s="83">
        <v>2</v>
      </c>
      <c r="AV61" s="88" t="str">
        <f>HYPERLINK("http://abs.twimg.com/images/themes/theme1/bg.png")</f>
        <v>http://abs.twimg.com/images/themes/theme1/bg.png</v>
      </c>
      <c r="AW61" s="83" t="b">
        <v>0</v>
      </c>
      <c r="AX61" s="83" t="s">
        <v>2807</v>
      </c>
      <c r="AY61" s="88" t="str">
        <f>HYPERLINK("https://twitter.com/tot0mad")</f>
        <v>https://twitter.com/tot0mad</v>
      </c>
      <c r="AZ61" s="83" t="s">
        <v>66</v>
      </c>
      <c r="BA61" s="2"/>
      <c r="BB61" s="3"/>
      <c r="BC61" s="3"/>
      <c r="BD61" s="3"/>
      <c r="BE61" s="3"/>
    </row>
    <row r="62" spans="1:57" x14ac:dyDescent="0.2">
      <c r="A62" s="69" t="s">
        <v>267</v>
      </c>
      <c r="B62" s="70"/>
      <c r="C62" s="70"/>
      <c r="D62" s="71"/>
      <c r="E62" s="73"/>
      <c r="F62" s="109" t="str">
        <f>HYPERLINK("http://pbs.twimg.com/profile_images/666451250267860993/7xkOeHee_normal.jpg")</f>
        <v>http://pbs.twimg.com/profile_images/666451250267860993/7xkOeHee_normal.jpg</v>
      </c>
      <c r="G62" s="70"/>
      <c r="H62" s="74"/>
      <c r="I62" s="75"/>
      <c r="J62" s="75"/>
      <c r="K62" s="74" t="s">
        <v>2866</v>
      </c>
      <c r="L62" s="78"/>
      <c r="M62" s="79"/>
      <c r="N62" s="79"/>
      <c r="O62" s="80"/>
      <c r="P62" s="81"/>
      <c r="Q62" s="81"/>
      <c r="R62" s="93"/>
      <c r="S62" s="93"/>
      <c r="T62" s="93"/>
      <c r="U62" s="93"/>
      <c r="V62" s="52"/>
      <c r="W62" s="52"/>
      <c r="X62" s="52"/>
      <c r="Y62" s="52"/>
      <c r="Z62" s="51"/>
      <c r="AA62" s="76"/>
      <c r="AB62" s="76"/>
      <c r="AC62" s="77"/>
      <c r="AD62" s="83" t="s">
        <v>1890</v>
      </c>
      <c r="AE62" s="91" t="s">
        <v>2158</v>
      </c>
      <c r="AF62" s="83">
        <v>1715</v>
      </c>
      <c r="AG62" s="83">
        <v>1686</v>
      </c>
      <c r="AH62" s="83">
        <v>4996</v>
      </c>
      <c r="AI62" s="83">
        <v>9975</v>
      </c>
      <c r="AJ62" s="83"/>
      <c r="AK62" s="83" t="s">
        <v>2419</v>
      </c>
      <c r="AL62" s="83"/>
      <c r="AM62" s="83"/>
      <c r="AN62" s="83"/>
      <c r="AO62" s="85">
        <v>42082.593576388892</v>
      </c>
      <c r="AP62" s="88" t="str">
        <f>HYPERLINK("https://pbs.twimg.com/profile_banners/3098011538/1576512672")</f>
        <v>https://pbs.twimg.com/profile_banners/3098011538/1576512672</v>
      </c>
      <c r="AQ62" s="83" t="b">
        <v>1</v>
      </c>
      <c r="AR62" s="83" t="b">
        <v>0</v>
      </c>
      <c r="AS62" s="83" t="b">
        <v>1</v>
      </c>
      <c r="AT62" s="83"/>
      <c r="AU62" s="83">
        <v>40</v>
      </c>
      <c r="AV62" s="88" t="str">
        <f>HYPERLINK("http://abs.twimg.com/images/themes/theme1/bg.png")</f>
        <v>http://abs.twimg.com/images/themes/theme1/bg.png</v>
      </c>
      <c r="AW62" s="83" t="b">
        <v>0</v>
      </c>
      <c r="AX62" s="83" t="s">
        <v>2807</v>
      </c>
      <c r="AY62" s="88" t="str">
        <f>HYPERLINK("https://twitter.com/to1027me")</f>
        <v>https://twitter.com/to1027me</v>
      </c>
      <c r="AZ62" s="83" t="s">
        <v>66</v>
      </c>
      <c r="BA62" s="2"/>
      <c r="BB62" s="3"/>
      <c r="BC62" s="3"/>
      <c r="BD62" s="3"/>
      <c r="BE62" s="3"/>
    </row>
    <row r="63" spans="1:57" x14ac:dyDescent="0.2">
      <c r="A63" s="69" t="s">
        <v>268</v>
      </c>
      <c r="B63" s="70"/>
      <c r="C63" s="70"/>
      <c r="D63" s="71"/>
      <c r="E63" s="73"/>
      <c r="F63" s="109" t="str">
        <f>HYPERLINK("http://pbs.twimg.com/profile_images/1236700380987158528/no6JZpdD_normal.jpg")</f>
        <v>http://pbs.twimg.com/profile_images/1236700380987158528/no6JZpdD_normal.jpg</v>
      </c>
      <c r="G63" s="70"/>
      <c r="H63" s="74"/>
      <c r="I63" s="75"/>
      <c r="J63" s="75"/>
      <c r="K63" s="74" t="s">
        <v>2867</v>
      </c>
      <c r="L63" s="78"/>
      <c r="M63" s="79"/>
      <c r="N63" s="79"/>
      <c r="O63" s="80"/>
      <c r="P63" s="81"/>
      <c r="Q63" s="81"/>
      <c r="R63" s="93"/>
      <c r="S63" s="93"/>
      <c r="T63" s="93"/>
      <c r="U63" s="93"/>
      <c r="V63" s="52"/>
      <c r="W63" s="52"/>
      <c r="X63" s="52"/>
      <c r="Y63" s="52"/>
      <c r="Z63" s="51"/>
      <c r="AA63" s="76"/>
      <c r="AB63" s="76"/>
      <c r="AC63" s="77"/>
      <c r="AD63" s="83" t="s">
        <v>1891</v>
      </c>
      <c r="AE63" s="91" t="s">
        <v>2159</v>
      </c>
      <c r="AF63" s="83">
        <v>1550</v>
      </c>
      <c r="AG63" s="83">
        <v>835</v>
      </c>
      <c r="AH63" s="83">
        <v>3812</v>
      </c>
      <c r="AI63" s="83">
        <v>37060</v>
      </c>
      <c r="AJ63" s="83"/>
      <c r="AK63" s="83" t="s">
        <v>2420</v>
      </c>
      <c r="AL63" s="83" t="s">
        <v>2675</v>
      </c>
      <c r="AM63" s="88" t="str">
        <f>HYPERLINK("https://t.co/XpPCVwvI0Y")</f>
        <v>https://t.co/XpPCVwvI0Y</v>
      </c>
      <c r="AN63" s="83"/>
      <c r="AO63" s="85">
        <v>43549.954965277779</v>
      </c>
      <c r="AP63" s="88" t="str">
        <f>HYPERLINK("https://pbs.twimg.com/profile_banners/1110314205054291968/1563760582")</f>
        <v>https://pbs.twimg.com/profile_banners/1110314205054291968/1563760582</v>
      </c>
      <c r="AQ63" s="83" t="b">
        <v>1</v>
      </c>
      <c r="AR63" s="83" t="b">
        <v>0</v>
      </c>
      <c r="AS63" s="83" t="b">
        <v>0</v>
      </c>
      <c r="AT63" s="83"/>
      <c r="AU63" s="83">
        <v>13</v>
      </c>
      <c r="AV63" s="83"/>
      <c r="AW63" s="83" t="b">
        <v>0</v>
      </c>
      <c r="AX63" s="83" t="s">
        <v>2807</v>
      </c>
      <c r="AY63" s="88" t="str">
        <f>HYPERLINK("https://twitter.com/fightwood1")</f>
        <v>https://twitter.com/fightwood1</v>
      </c>
      <c r="AZ63" s="83" t="s">
        <v>66</v>
      </c>
      <c r="BA63" s="2"/>
      <c r="BB63" s="3"/>
      <c r="BC63" s="3"/>
      <c r="BD63" s="3"/>
      <c r="BE63" s="3"/>
    </row>
    <row r="64" spans="1:57" x14ac:dyDescent="0.2">
      <c r="A64" s="69" t="s">
        <v>269</v>
      </c>
      <c r="B64" s="70"/>
      <c r="C64" s="70"/>
      <c r="D64" s="71"/>
      <c r="E64" s="73"/>
      <c r="F64" s="109" t="str">
        <f>HYPERLINK("http://pbs.twimg.com/profile_images/1211806888414896128/kvSu-Ryt_normal.jpg")</f>
        <v>http://pbs.twimg.com/profile_images/1211806888414896128/kvSu-Ryt_normal.jpg</v>
      </c>
      <c r="G64" s="70"/>
      <c r="H64" s="74"/>
      <c r="I64" s="75"/>
      <c r="J64" s="75"/>
      <c r="K64" s="74" t="s">
        <v>2868</v>
      </c>
      <c r="L64" s="78"/>
      <c r="M64" s="79"/>
      <c r="N64" s="79"/>
      <c r="O64" s="80"/>
      <c r="P64" s="81"/>
      <c r="Q64" s="81"/>
      <c r="R64" s="93"/>
      <c r="S64" s="93"/>
      <c r="T64" s="93"/>
      <c r="U64" s="93"/>
      <c r="V64" s="52"/>
      <c r="W64" s="52"/>
      <c r="X64" s="52"/>
      <c r="Y64" s="52"/>
      <c r="Z64" s="51"/>
      <c r="AA64" s="76"/>
      <c r="AB64" s="76"/>
      <c r="AC64" s="77"/>
      <c r="AD64" s="83" t="s">
        <v>1892</v>
      </c>
      <c r="AE64" s="91" t="s">
        <v>2160</v>
      </c>
      <c r="AF64" s="83">
        <v>296</v>
      </c>
      <c r="AG64" s="83">
        <v>287</v>
      </c>
      <c r="AH64" s="83">
        <v>4292</v>
      </c>
      <c r="AI64" s="83">
        <v>9235</v>
      </c>
      <c r="AJ64" s="83"/>
      <c r="AK64" s="83" t="s">
        <v>2421</v>
      </c>
      <c r="AL64" s="83" t="s">
        <v>2676</v>
      </c>
      <c r="AM64" s="88" t="str">
        <f>HYPERLINK("https://t.co/FeouHuFDII")</f>
        <v>https://t.co/FeouHuFDII</v>
      </c>
      <c r="AN64" s="83"/>
      <c r="AO64" s="85">
        <v>43312.002916666665</v>
      </c>
      <c r="AP64" s="88" t="str">
        <f>HYPERLINK("https://pbs.twimg.com/profile_banners/1024083269036503041/1566267362")</f>
        <v>https://pbs.twimg.com/profile_banners/1024083269036503041/1566267362</v>
      </c>
      <c r="AQ64" s="83" t="b">
        <v>1</v>
      </c>
      <c r="AR64" s="83" t="b">
        <v>0</v>
      </c>
      <c r="AS64" s="83" t="b">
        <v>1</v>
      </c>
      <c r="AT64" s="83"/>
      <c r="AU64" s="83">
        <v>0</v>
      </c>
      <c r="AV64" s="83"/>
      <c r="AW64" s="83" t="b">
        <v>0</v>
      </c>
      <c r="AX64" s="83" t="s">
        <v>2807</v>
      </c>
      <c r="AY64" s="88" t="str">
        <f>HYPERLINK("https://twitter.com/mothatude")</f>
        <v>https://twitter.com/mothatude</v>
      </c>
      <c r="AZ64" s="83" t="s">
        <v>66</v>
      </c>
      <c r="BA64" s="2"/>
      <c r="BB64" s="3"/>
      <c r="BC64" s="3"/>
      <c r="BD64" s="3"/>
      <c r="BE64" s="3"/>
    </row>
    <row r="65" spans="1:57" x14ac:dyDescent="0.2">
      <c r="A65" s="69" t="s">
        <v>470</v>
      </c>
      <c r="B65" s="70"/>
      <c r="C65" s="70"/>
      <c r="D65" s="71"/>
      <c r="E65" s="73"/>
      <c r="F65" s="109" t="str">
        <f>HYPERLINK("http://pbs.twimg.com/profile_images/1272584100864569346/RTMFqZKV_normal.jpg")</f>
        <v>http://pbs.twimg.com/profile_images/1272584100864569346/RTMFqZKV_normal.jpg</v>
      </c>
      <c r="G65" s="70"/>
      <c r="H65" s="74"/>
      <c r="I65" s="75"/>
      <c r="J65" s="75"/>
      <c r="K65" s="74" t="s">
        <v>2869</v>
      </c>
      <c r="L65" s="78"/>
      <c r="M65" s="79"/>
      <c r="N65" s="79"/>
      <c r="O65" s="80"/>
      <c r="P65" s="81"/>
      <c r="Q65" s="81"/>
      <c r="R65" s="93"/>
      <c r="S65" s="93"/>
      <c r="T65" s="93"/>
      <c r="U65" s="93"/>
      <c r="V65" s="52"/>
      <c r="W65" s="52"/>
      <c r="X65" s="52"/>
      <c r="Y65" s="52"/>
      <c r="Z65" s="51"/>
      <c r="AA65" s="76"/>
      <c r="AB65" s="76"/>
      <c r="AC65" s="77"/>
      <c r="AD65" s="83" t="s">
        <v>1893</v>
      </c>
      <c r="AE65" s="91" t="s">
        <v>2161</v>
      </c>
      <c r="AF65" s="83">
        <v>938</v>
      </c>
      <c r="AG65" s="83">
        <v>2405</v>
      </c>
      <c r="AH65" s="83">
        <v>8937</v>
      </c>
      <c r="AI65" s="83">
        <v>24702</v>
      </c>
      <c r="AJ65" s="83"/>
      <c r="AK65" s="83" t="s">
        <v>2422</v>
      </c>
      <c r="AL65" s="83" t="s">
        <v>2677</v>
      </c>
      <c r="AM65" s="88" t="str">
        <f>HYPERLINK("https://t.co/dA5RAGP7de")</f>
        <v>https://t.co/dA5RAGP7de</v>
      </c>
      <c r="AN65" s="83"/>
      <c r="AO65" s="85">
        <v>41700.878460648149</v>
      </c>
      <c r="AP65" s="88" t="str">
        <f>HYPERLINK("https://pbs.twimg.com/profile_banners/2377101765/1568417830")</f>
        <v>https://pbs.twimg.com/profile_banners/2377101765/1568417830</v>
      </c>
      <c r="AQ65" s="83" t="b">
        <v>1</v>
      </c>
      <c r="AR65" s="83" t="b">
        <v>0</v>
      </c>
      <c r="AS65" s="83" t="b">
        <v>1</v>
      </c>
      <c r="AT65" s="83"/>
      <c r="AU65" s="83">
        <v>28</v>
      </c>
      <c r="AV65" s="88" t="str">
        <f>HYPERLINK("http://abs.twimg.com/images/themes/theme1/bg.png")</f>
        <v>http://abs.twimg.com/images/themes/theme1/bg.png</v>
      </c>
      <c r="AW65" s="83" t="b">
        <v>0</v>
      </c>
      <c r="AX65" s="83" t="s">
        <v>2807</v>
      </c>
      <c r="AY65" s="88" t="str">
        <f>HYPERLINK("https://twitter.com/pokeprofnet")</f>
        <v>https://twitter.com/pokeprofnet</v>
      </c>
      <c r="AZ65" s="83" t="s">
        <v>65</v>
      </c>
      <c r="BA65" s="2"/>
      <c r="BB65" s="3"/>
      <c r="BC65" s="3"/>
      <c r="BD65" s="3"/>
      <c r="BE65" s="3"/>
    </row>
    <row r="66" spans="1:57" x14ac:dyDescent="0.2">
      <c r="A66" s="69" t="s">
        <v>281</v>
      </c>
      <c r="B66" s="70"/>
      <c r="C66" s="70"/>
      <c r="D66" s="71"/>
      <c r="E66" s="73"/>
      <c r="F66" s="109" t="str">
        <f>HYPERLINK("http://pbs.twimg.com/profile_images/1242888264090095619/JU80SGfY_normal.jpg")</f>
        <v>http://pbs.twimg.com/profile_images/1242888264090095619/JU80SGfY_normal.jpg</v>
      </c>
      <c r="G66" s="70"/>
      <c r="H66" s="74"/>
      <c r="I66" s="75"/>
      <c r="J66" s="75"/>
      <c r="K66" s="74" t="s">
        <v>2870</v>
      </c>
      <c r="L66" s="78"/>
      <c r="M66" s="79"/>
      <c r="N66" s="79"/>
      <c r="O66" s="80"/>
      <c r="P66" s="81"/>
      <c r="Q66" s="81"/>
      <c r="R66" s="93"/>
      <c r="S66" s="93"/>
      <c r="T66" s="93"/>
      <c r="U66" s="93"/>
      <c r="V66" s="52"/>
      <c r="W66" s="52"/>
      <c r="X66" s="52"/>
      <c r="Y66" s="52"/>
      <c r="Z66" s="51"/>
      <c r="AA66" s="76"/>
      <c r="AB66" s="76"/>
      <c r="AC66" s="77"/>
      <c r="AD66" s="83" t="s">
        <v>1894</v>
      </c>
      <c r="AE66" s="91" t="s">
        <v>2162</v>
      </c>
      <c r="AF66" s="83">
        <v>188</v>
      </c>
      <c r="AG66" s="83">
        <v>521</v>
      </c>
      <c r="AH66" s="83">
        <v>2536</v>
      </c>
      <c r="AI66" s="83">
        <v>8491</v>
      </c>
      <c r="AJ66" s="83"/>
      <c r="AK66" s="83" t="s">
        <v>2423</v>
      </c>
      <c r="AL66" s="83" t="s">
        <v>2678</v>
      </c>
      <c r="AM66" s="88" t="str">
        <f>HYPERLINK("https://t.co/WOiTBaOT66")</f>
        <v>https://t.co/WOiTBaOT66</v>
      </c>
      <c r="AN66" s="83"/>
      <c r="AO66" s="85">
        <v>43309.611157407409</v>
      </c>
      <c r="AP66" s="88" t="str">
        <f>HYPERLINK("https://pbs.twimg.com/profile_banners/1023216525136850946/1585164252")</f>
        <v>https://pbs.twimg.com/profile_banners/1023216525136850946/1585164252</v>
      </c>
      <c r="AQ66" s="83" t="b">
        <v>1</v>
      </c>
      <c r="AR66" s="83" t="b">
        <v>0</v>
      </c>
      <c r="AS66" s="83" t="b">
        <v>1</v>
      </c>
      <c r="AT66" s="83"/>
      <c r="AU66" s="83">
        <v>3</v>
      </c>
      <c r="AV66" s="83"/>
      <c r="AW66" s="83" t="b">
        <v>0</v>
      </c>
      <c r="AX66" s="83" t="s">
        <v>2807</v>
      </c>
      <c r="AY66" s="88" t="str">
        <f>HYPERLINK("https://twitter.com/pelopogo")</f>
        <v>https://twitter.com/pelopogo</v>
      </c>
      <c r="AZ66" s="83" t="s">
        <v>66</v>
      </c>
      <c r="BA66" s="2"/>
      <c r="BB66" s="3"/>
      <c r="BC66" s="3"/>
      <c r="BD66" s="3"/>
      <c r="BE66" s="3"/>
    </row>
    <row r="67" spans="1:57" x14ac:dyDescent="0.2">
      <c r="A67" s="69" t="s">
        <v>280</v>
      </c>
      <c r="B67" s="70"/>
      <c r="C67" s="70"/>
      <c r="D67" s="71"/>
      <c r="E67" s="73"/>
      <c r="F67" s="109" t="str">
        <f>HYPERLINK("http://pbs.twimg.com/profile_images/1152665675707686913/ZVNwD1o__normal.jpg")</f>
        <v>http://pbs.twimg.com/profile_images/1152665675707686913/ZVNwD1o__normal.jpg</v>
      </c>
      <c r="G67" s="70"/>
      <c r="H67" s="74"/>
      <c r="I67" s="75"/>
      <c r="J67" s="75"/>
      <c r="K67" s="74" t="s">
        <v>2871</v>
      </c>
      <c r="L67" s="78"/>
      <c r="M67" s="79"/>
      <c r="N67" s="79"/>
      <c r="O67" s="80"/>
      <c r="P67" s="81"/>
      <c r="Q67" s="81"/>
      <c r="R67" s="93"/>
      <c r="S67" s="93"/>
      <c r="T67" s="93"/>
      <c r="U67" s="93"/>
      <c r="V67" s="52"/>
      <c r="W67" s="52"/>
      <c r="X67" s="52"/>
      <c r="Y67" s="52"/>
      <c r="Z67" s="51"/>
      <c r="AA67" s="76"/>
      <c r="AB67" s="76"/>
      <c r="AC67" s="77"/>
      <c r="AD67" s="83" t="s">
        <v>1895</v>
      </c>
      <c r="AE67" s="91" t="s">
        <v>2163</v>
      </c>
      <c r="AF67" s="83">
        <v>344</v>
      </c>
      <c r="AG67" s="83">
        <v>1865</v>
      </c>
      <c r="AH67" s="83">
        <v>3013</v>
      </c>
      <c r="AI67" s="83">
        <v>4020</v>
      </c>
      <c r="AJ67" s="83"/>
      <c r="AK67" s="83" t="s">
        <v>2424</v>
      </c>
      <c r="AL67" s="83" t="s">
        <v>2679</v>
      </c>
      <c r="AM67" s="88" t="str">
        <f>HYPERLINK("https://t.co/FeouHuFDII")</f>
        <v>https://t.co/FeouHuFDII</v>
      </c>
      <c r="AN67" s="83"/>
      <c r="AO67" s="85">
        <v>43638.647627314815</v>
      </c>
      <c r="AP67" s="88" t="str">
        <f>HYPERLINK("https://pbs.twimg.com/profile_banners/1142455346063126531/1569953835")</f>
        <v>https://pbs.twimg.com/profile_banners/1142455346063126531/1569953835</v>
      </c>
      <c r="AQ67" s="83" t="b">
        <v>1</v>
      </c>
      <c r="AR67" s="83" t="b">
        <v>0</v>
      </c>
      <c r="AS67" s="83" t="b">
        <v>0</v>
      </c>
      <c r="AT67" s="83"/>
      <c r="AU67" s="83">
        <v>10</v>
      </c>
      <c r="AV67" s="83"/>
      <c r="AW67" s="83" t="b">
        <v>0</v>
      </c>
      <c r="AX67" s="83" t="s">
        <v>2807</v>
      </c>
      <c r="AY67" s="88" t="str">
        <f>HYPERLINK("https://twitter.com/g2g_med1a")</f>
        <v>https://twitter.com/g2g_med1a</v>
      </c>
      <c r="AZ67" s="83" t="s">
        <v>66</v>
      </c>
      <c r="BA67" s="2"/>
      <c r="BB67" s="3"/>
      <c r="BC67" s="3"/>
      <c r="BD67" s="3"/>
      <c r="BE67" s="3"/>
    </row>
    <row r="68" spans="1:57" x14ac:dyDescent="0.2">
      <c r="A68" s="69" t="s">
        <v>270</v>
      </c>
      <c r="B68" s="70"/>
      <c r="C68" s="70"/>
      <c r="D68" s="71"/>
      <c r="E68" s="73"/>
      <c r="F68" s="109" t="str">
        <f>HYPERLINK("http://pbs.twimg.com/profile_images/1141114759498088448/rF7pQbwT_normal.png")</f>
        <v>http://pbs.twimg.com/profile_images/1141114759498088448/rF7pQbwT_normal.png</v>
      </c>
      <c r="G68" s="70"/>
      <c r="H68" s="74"/>
      <c r="I68" s="75"/>
      <c r="J68" s="75"/>
      <c r="K68" s="74" t="s">
        <v>2872</v>
      </c>
      <c r="L68" s="78"/>
      <c r="M68" s="79"/>
      <c r="N68" s="79"/>
      <c r="O68" s="80"/>
      <c r="P68" s="81"/>
      <c r="Q68" s="81"/>
      <c r="R68" s="93"/>
      <c r="S68" s="93"/>
      <c r="T68" s="93"/>
      <c r="U68" s="93"/>
      <c r="V68" s="52"/>
      <c r="W68" s="52"/>
      <c r="X68" s="52"/>
      <c r="Y68" s="52"/>
      <c r="Z68" s="51"/>
      <c r="AA68" s="76"/>
      <c r="AB68" s="76"/>
      <c r="AC68" s="77"/>
      <c r="AD68" s="83" t="s">
        <v>1896</v>
      </c>
      <c r="AE68" s="91" t="s">
        <v>2164</v>
      </c>
      <c r="AF68" s="83">
        <v>161</v>
      </c>
      <c r="AG68" s="83">
        <v>136</v>
      </c>
      <c r="AH68" s="83">
        <v>1228</v>
      </c>
      <c r="AI68" s="83">
        <v>1305</v>
      </c>
      <c r="AJ68" s="83"/>
      <c r="AK68" s="83" t="s">
        <v>2425</v>
      </c>
      <c r="AL68" s="83" t="s">
        <v>2680</v>
      </c>
      <c r="AM68" s="88" t="str">
        <f>HYPERLINK("https://t.co/bXHglZlJ7b")</f>
        <v>https://t.co/bXHglZlJ7b</v>
      </c>
      <c r="AN68" s="83"/>
      <c r="AO68" s="85">
        <v>43298.842662037037</v>
      </c>
      <c r="AP68" s="88" t="str">
        <f>HYPERLINK("https://pbs.twimg.com/profile_banners/1019314150651121664/1565432280")</f>
        <v>https://pbs.twimg.com/profile_banners/1019314150651121664/1565432280</v>
      </c>
      <c r="AQ68" s="83" t="b">
        <v>0</v>
      </c>
      <c r="AR68" s="83" t="b">
        <v>0</v>
      </c>
      <c r="AS68" s="83" t="b">
        <v>0</v>
      </c>
      <c r="AT68" s="83"/>
      <c r="AU68" s="83">
        <v>1</v>
      </c>
      <c r="AV68" s="88" t="str">
        <f>HYPERLINK("http://abs.twimg.com/images/themes/theme1/bg.png")</f>
        <v>http://abs.twimg.com/images/themes/theme1/bg.png</v>
      </c>
      <c r="AW68" s="83" t="b">
        <v>0</v>
      </c>
      <c r="AX68" s="83" t="s">
        <v>2807</v>
      </c>
      <c r="AY68" s="88" t="str">
        <f>HYPERLINK("https://twitter.com/pogo_pac")</f>
        <v>https://twitter.com/pogo_pac</v>
      </c>
      <c r="AZ68" s="83" t="s">
        <v>66</v>
      </c>
      <c r="BA68" s="2"/>
      <c r="BB68" s="3"/>
      <c r="BC68" s="3"/>
      <c r="BD68" s="3"/>
      <c r="BE68" s="3"/>
    </row>
    <row r="69" spans="1:57" x14ac:dyDescent="0.2">
      <c r="A69" s="69" t="s">
        <v>271</v>
      </c>
      <c r="B69" s="70"/>
      <c r="C69" s="70"/>
      <c r="D69" s="71"/>
      <c r="E69" s="73"/>
      <c r="F69" s="109" t="str">
        <f>HYPERLINK("http://pbs.twimg.com/profile_images/1280619484131340295/dYEZ0q1Q_normal.jpg")</f>
        <v>http://pbs.twimg.com/profile_images/1280619484131340295/dYEZ0q1Q_normal.jpg</v>
      </c>
      <c r="G69" s="70"/>
      <c r="H69" s="74"/>
      <c r="I69" s="75"/>
      <c r="J69" s="75"/>
      <c r="K69" s="74" t="s">
        <v>2873</v>
      </c>
      <c r="L69" s="78"/>
      <c r="M69" s="79"/>
      <c r="N69" s="79"/>
      <c r="O69" s="80"/>
      <c r="P69" s="81"/>
      <c r="Q69" s="81"/>
      <c r="R69" s="93"/>
      <c r="S69" s="93"/>
      <c r="T69" s="93"/>
      <c r="U69" s="93"/>
      <c r="V69" s="52"/>
      <c r="W69" s="52"/>
      <c r="X69" s="52"/>
      <c r="Y69" s="52"/>
      <c r="Z69" s="51"/>
      <c r="AA69" s="76"/>
      <c r="AB69" s="76"/>
      <c r="AC69" s="77"/>
      <c r="AD69" s="83" t="s">
        <v>1897</v>
      </c>
      <c r="AE69" s="91" t="s">
        <v>2165</v>
      </c>
      <c r="AF69" s="83">
        <v>494</v>
      </c>
      <c r="AG69" s="83">
        <v>15618</v>
      </c>
      <c r="AH69" s="83">
        <v>4739</v>
      </c>
      <c r="AI69" s="83">
        <v>10344</v>
      </c>
      <c r="AJ69" s="83"/>
      <c r="AK69" s="83" t="s">
        <v>2426</v>
      </c>
      <c r="AL69" s="83" t="s">
        <v>2681</v>
      </c>
      <c r="AM69" s="83"/>
      <c r="AN69" s="83"/>
      <c r="AO69" s="85">
        <v>43311.842858796299</v>
      </c>
      <c r="AP69" s="88" t="str">
        <f>HYPERLINK("https://pbs.twimg.com/profile_banners/1024025263586172928/1594513976")</f>
        <v>https://pbs.twimg.com/profile_banners/1024025263586172928/1594513976</v>
      </c>
      <c r="AQ69" s="83" t="b">
        <v>0</v>
      </c>
      <c r="AR69" s="83" t="b">
        <v>0</v>
      </c>
      <c r="AS69" s="83" t="b">
        <v>1</v>
      </c>
      <c r="AT69" s="83"/>
      <c r="AU69" s="83">
        <v>93</v>
      </c>
      <c r="AV69" s="88" t="str">
        <f>HYPERLINK("http://abs.twimg.com/images/themes/theme1/bg.png")</f>
        <v>http://abs.twimg.com/images/themes/theme1/bg.png</v>
      </c>
      <c r="AW69" s="83" t="b">
        <v>0</v>
      </c>
      <c r="AX69" s="83" t="s">
        <v>2807</v>
      </c>
      <c r="AY69" s="88" t="str">
        <f>HYPERLINK("https://twitter.com/legendslima")</f>
        <v>https://twitter.com/legendslima</v>
      </c>
      <c r="AZ69" s="83" t="s">
        <v>66</v>
      </c>
      <c r="BA69" s="2"/>
      <c r="BB69" s="3"/>
      <c r="BC69" s="3"/>
      <c r="BD69" s="3"/>
      <c r="BE69" s="3"/>
    </row>
    <row r="70" spans="1:57" x14ac:dyDescent="0.2">
      <c r="A70" s="69" t="s">
        <v>272</v>
      </c>
      <c r="B70" s="70"/>
      <c r="C70" s="70"/>
      <c r="D70" s="71"/>
      <c r="E70" s="73"/>
      <c r="F70" s="109" t="str">
        <f>HYPERLINK("http://pbs.twimg.com/profile_images/1278212761571528705/OoNOvDqe_normal.jpg")</f>
        <v>http://pbs.twimg.com/profile_images/1278212761571528705/OoNOvDqe_normal.jpg</v>
      </c>
      <c r="G70" s="70"/>
      <c r="H70" s="74"/>
      <c r="I70" s="75"/>
      <c r="J70" s="75"/>
      <c r="K70" s="74" t="s">
        <v>2874</v>
      </c>
      <c r="L70" s="78"/>
      <c r="M70" s="79"/>
      <c r="N70" s="79"/>
      <c r="O70" s="80"/>
      <c r="P70" s="81"/>
      <c r="Q70" s="81"/>
      <c r="R70" s="93"/>
      <c r="S70" s="93"/>
      <c r="T70" s="93"/>
      <c r="U70" s="93"/>
      <c r="V70" s="52"/>
      <c r="W70" s="52"/>
      <c r="X70" s="52"/>
      <c r="Y70" s="52"/>
      <c r="Z70" s="51"/>
      <c r="AA70" s="76"/>
      <c r="AB70" s="76"/>
      <c r="AC70" s="77"/>
      <c r="AD70" s="83" t="s">
        <v>1898</v>
      </c>
      <c r="AE70" s="91" t="s">
        <v>2166</v>
      </c>
      <c r="AF70" s="83">
        <v>68</v>
      </c>
      <c r="AG70" s="83">
        <v>212</v>
      </c>
      <c r="AH70" s="83">
        <v>3831</v>
      </c>
      <c r="AI70" s="83">
        <v>3587</v>
      </c>
      <c r="AJ70" s="83"/>
      <c r="AK70" s="83"/>
      <c r="AL70" s="83"/>
      <c r="AM70" s="83"/>
      <c r="AN70" s="83"/>
      <c r="AO70" s="85">
        <v>43816.717164351852</v>
      </c>
      <c r="AP70" s="88" t="str">
        <f>HYPERLINK("https://pbs.twimg.com/profile_banners/1206985545026613248/1586388532")</f>
        <v>https://pbs.twimg.com/profile_banners/1206985545026613248/1586388532</v>
      </c>
      <c r="AQ70" s="83" t="b">
        <v>1</v>
      </c>
      <c r="AR70" s="83" t="b">
        <v>0</v>
      </c>
      <c r="AS70" s="83" t="b">
        <v>0</v>
      </c>
      <c r="AT70" s="83"/>
      <c r="AU70" s="83">
        <v>1</v>
      </c>
      <c r="AV70" s="83"/>
      <c r="AW70" s="83" t="b">
        <v>0</v>
      </c>
      <c r="AX70" s="83" t="s">
        <v>2807</v>
      </c>
      <c r="AY70" s="88" t="str">
        <f>HYPERLINK("https://twitter.com/gobarreras")</f>
        <v>https://twitter.com/gobarreras</v>
      </c>
      <c r="AZ70" s="83" t="s">
        <v>66</v>
      </c>
      <c r="BA70" s="2"/>
      <c r="BB70" s="3"/>
      <c r="BC70" s="3"/>
      <c r="BD70" s="3"/>
      <c r="BE70" s="3"/>
    </row>
    <row r="71" spans="1:57" x14ac:dyDescent="0.2">
      <c r="A71" s="69" t="s">
        <v>273</v>
      </c>
      <c r="B71" s="70"/>
      <c r="C71" s="70"/>
      <c r="D71" s="71"/>
      <c r="E71" s="73"/>
      <c r="F71" s="109" t="str">
        <f>HYPERLINK("http://pbs.twimg.com/profile_images/1267580249237188608/9-DPcJI-_normal.jpg")</f>
        <v>http://pbs.twimg.com/profile_images/1267580249237188608/9-DPcJI-_normal.jpg</v>
      </c>
      <c r="G71" s="70"/>
      <c r="H71" s="74"/>
      <c r="I71" s="75"/>
      <c r="J71" s="75"/>
      <c r="K71" s="74" t="s">
        <v>2875</v>
      </c>
      <c r="L71" s="78"/>
      <c r="M71" s="79"/>
      <c r="N71" s="79"/>
      <c r="O71" s="80"/>
      <c r="P71" s="81"/>
      <c r="Q71" s="81"/>
      <c r="R71" s="93"/>
      <c r="S71" s="93"/>
      <c r="T71" s="93"/>
      <c r="U71" s="93"/>
      <c r="V71" s="52"/>
      <c r="W71" s="52"/>
      <c r="X71" s="52"/>
      <c r="Y71" s="52"/>
      <c r="Z71" s="51"/>
      <c r="AA71" s="76"/>
      <c r="AB71" s="76"/>
      <c r="AC71" s="77"/>
      <c r="AD71" s="83" t="s">
        <v>1899</v>
      </c>
      <c r="AE71" s="91" t="s">
        <v>2167</v>
      </c>
      <c r="AF71" s="83">
        <v>117</v>
      </c>
      <c r="AG71" s="83">
        <v>10</v>
      </c>
      <c r="AH71" s="83">
        <v>1536</v>
      </c>
      <c r="AI71" s="83">
        <v>3483</v>
      </c>
      <c r="AJ71" s="83"/>
      <c r="AK71" s="83" t="s">
        <v>2427</v>
      </c>
      <c r="AL71" s="83"/>
      <c r="AM71" s="83"/>
      <c r="AN71" s="83"/>
      <c r="AO71" s="85">
        <v>41222.074548611112</v>
      </c>
      <c r="AP71" s="88" t="str">
        <f>HYPERLINK("https://pbs.twimg.com/profile_banners/935877180/1591049675")</f>
        <v>https://pbs.twimg.com/profile_banners/935877180/1591049675</v>
      </c>
      <c r="AQ71" s="83" t="b">
        <v>1</v>
      </c>
      <c r="AR71" s="83" t="b">
        <v>0</v>
      </c>
      <c r="AS71" s="83" t="b">
        <v>0</v>
      </c>
      <c r="AT71" s="83"/>
      <c r="AU71" s="83">
        <v>0</v>
      </c>
      <c r="AV71" s="88" t="str">
        <f>HYPERLINK("http://abs.twimg.com/images/themes/theme1/bg.png")</f>
        <v>http://abs.twimg.com/images/themes/theme1/bg.png</v>
      </c>
      <c r="AW71" s="83" t="b">
        <v>0</v>
      </c>
      <c r="AX71" s="83" t="s">
        <v>2807</v>
      </c>
      <c r="AY71" s="88" t="str">
        <f>HYPERLINK("https://twitter.com/arhyxz")</f>
        <v>https://twitter.com/arhyxz</v>
      </c>
      <c r="AZ71" s="83" t="s">
        <v>66</v>
      </c>
      <c r="BA71" s="2"/>
      <c r="BB71" s="3"/>
      <c r="BC71" s="3"/>
      <c r="BD71" s="3"/>
      <c r="BE71" s="3"/>
    </row>
    <row r="72" spans="1:57" x14ac:dyDescent="0.2">
      <c r="A72" s="69" t="s">
        <v>274</v>
      </c>
      <c r="B72" s="70"/>
      <c r="C72" s="70"/>
      <c r="D72" s="71"/>
      <c r="E72" s="73"/>
      <c r="F72" s="109" t="str">
        <f>HYPERLINK("http://pbs.twimg.com/profile_images/1210561297030504450/NqOFkKsy_normal.jpg")</f>
        <v>http://pbs.twimg.com/profile_images/1210561297030504450/NqOFkKsy_normal.jpg</v>
      </c>
      <c r="G72" s="70"/>
      <c r="H72" s="74"/>
      <c r="I72" s="75"/>
      <c r="J72" s="75"/>
      <c r="K72" s="74" t="s">
        <v>2876</v>
      </c>
      <c r="L72" s="78"/>
      <c r="M72" s="79"/>
      <c r="N72" s="79"/>
      <c r="O72" s="80"/>
      <c r="P72" s="81"/>
      <c r="Q72" s="81"/>
      <c r="R72" s="93"/>
      <c r="S72" s="93"/>
      <c r="T72" s="93"/>
      <c r="U72" s="93"/>
      <c r="V72" s="52"/>
      <c r="W72" s="52"/>
      <c r="X72" s="52"/>
      <c r="Y72" s="52"/>
      <c r="Z72" s="51"/>
      <c r="AA72" s="76"/>
      <c r="AB72" s="76"/>
      <c r="AC72" s="77"/>
      <c r="AD72" s="83" t="s">
        <v>1900</v>
      </c>
      <c r="AE72" s="91" t="s">
        <v>2168</v>
      </c>
      <c r="AF72" s="83">
        <v>240</v>
      </c>
      <c r="AG72" s="83">
        <v>229</v>
      </c>
      <c r="AH72" s="83">
        <v>3035</v>
      </c>
      <c r="AI72" s="83">
        <v>7940</v>
      </c>
      <c r="AJ72" s="83"/>
      <c r="AK72" s="83" t="s">
        <v>2428</v>
      </c>
      <c r="AL72" s="83" t="s">
        <v>2682</v>
      </c>
      <c r="AM72" s="83"/>
      <c r="AN72" s="83"/>
      <c r="AO72" s="85">
        <v>42133.483356481483</v>
      </c>
      <c r="AP72" s="88" t="str">
        <f>HYPERLINK("https://pbs.twimg.com/profile_banners/3243312959/1437961253")</f>
        <v>https://pbs.twimg.com/profile_banners/3243312959/1437961253</v>
      </c>
      <c r="AQ72" s="83" t="b">
        <v>1</v>
      </c>
      <c r="AR72" s="83" t="b">
        <v>0</v>
      </c>
      <c r="AS72" s="83" t="b">
        <v>1</v>
      </c>
      <c r="AT72" s="83"/>
      <c r="AU72" s="83">
        <v>14</v>
      </c>
      <c r="AV72" s="88" t="str">
        <f>HYPERLINK("http://abs.twimg.com/images/themes/theme1/bg.png")</f>
        <v>http://abs.twimg.com/images/themes/theme1/bg.png</v>
      </c>
      <c r="AW72" s="83" t="b">
        <v>0</v>
      </c>
      <c r="AX72" s="83" t="s">
        <v>2807</v>
      </c>
      <c r="AY72" s="88" t="str">
        <f>HYPERLINK("https://twitter.com/jeffreyb777")</f>
        <v>https://twitter.com/jeffreyb777</v>
      </c>
      <c r="AZ72" s="83" t="s">
        <v>66</v>
      </c>
      <c r="BA72" s="2"/>
      <c r="BB72" s="3"/>
      <c r="BC72" s="3"/>
      <c r="BD72" s="3"/>
      <c r="BE72" s="3"/>
    </row>
    <row r="73" spans="1:57" x14ac:dyDescent="0.2">
      <c r="A73" s="69" t="s">
        <v>275</v>
      </c>
      <c r="B73" s="70"/>
      <c r="C73" s="70"/>
      <c r="D73" s="71"/>
      <c r="E73" s="73"/>
      <c r="F73" s="109" t="str">
        <f>HYPERLINK("http://pbs.twimg.com/profile_images/1265597806430965760/MQCYegdO_normal.jpg")</f>
        <v>http://pbs.twimg.com/profile_images/1265597806430965760/MQCYegdO_normal.jpg</v>
      </c>
      <c r="G73" s="70"/>
      <c r="H73" s="74"/>
      <c r="I73" s="75"/>
      <c r="J73" s="75"/>
      <c r="K73" s="74" t="s">
        <v>2877</v>
      </c>
      <c r="L73" s="78"/>
      <c r="M73" s="79"/>
      <c r="N73" s="79"/>
      <c r="O73" s="80"/>
      <c r="P73" s="81"/>
      <c r="Q73" s="81"/>
      <c r="R73" s="93"/>
      <c r="S73" s="93"/>
      <c r="T73" s="93"/>
      <c r="U73" s="93"/>
      <c r="V73" s="52"/>
      <c r="W73" s="52"/>
      <c r="X73" s="52"/>
      <c r="Y73" s="52"/>
      <c r="Z73" s="51"/>
      <c r="AA73" s="76"/>
      <c r="AB73" s="76"/>
      <c r="AC73" s="77"/>
      <c r="AD73" s="83" t="s">
        <v>1901</v>
      </c>
      <c r="AE73" s="91" t="s">
        <v>2169</v>
      </c>
      <c r="AF73" s="83">
        <v>704</v>
      </c>
      <c r="AG73" s="83">
        <v>3137</v>
      </c>
      <c r="AH73" s="83">
        <v>113198</v>
      </c>
      <c r="AI73" s="83">
        <v>74382</v>
      </c>
      <c r="AJ73" s="83"/>
      <c r="AK73" s="83" t="s">
        <v>2429</v>
      </c>
      <c r="AL73" s="83" t="s">
        <v>2683</v>
      </c>
      <c r="AM73" s="88" t="str">
        <f>HYPERLINK("https://t.co/VamezbQh3L")</f>
        <v>https://t.co/VamezbQh3L</v>
      </c>
      <c r="AN73" s="83"/>
      <c r="AO73" s="85">
        <v>39896.576481481483</v>
      </c>
      <c r="AP73" s="88" t="str">
        <f>HYPERLINK("https://pbs.twimg.com/profile_banners/26239808/1398920495")</f>
        <v>https://pbs.twimg.com/profile_banners/26239808/1398920495</v>
      </c>
      <c r="AQ73" s="83" t="b">
        <v>0</v>
      </c>
      <c r="AR73" s="83" t="b">
        <v>0</v>
      </c>
      <c r="AS73" s="83" t="b">
        <v>0</v>
      </c>
      <c r="AT73" s="83"/>
      <c r="AU73" s="83">
        <v>142</v>
      </c>
      <c r="AV73" s="88" t="str">
        <f>HYPERLINK("http://abs.twimg.com/images/themes/theme9/bg.gif")</f>
        <v>http://abs.twimg.com/images/themes/theme9/bg.gif</v>
      </c>
      <c r="AW73" s="83" t="b">
        <v>0</v>
      </c>
      <c r="AX73" s="83" t="s">
        <v>2807</v>
      </c>
      <c r="AY73" s="88" t="str">
        <f>HYPERLINK("https://twitter.com/tokiwailm")</f>
        <v>https://twitter.com/tokiwailm</v>
      </c>
      <c r="AZ73" s="83" t="s">
        <v>66</v>
      </c>
      <c r="BA73" s="2"/>
      <c r="BB73" s="3"/>
      <c r="BC73" s="3"/>
      <c r="BD73" s="3"/>
      <c r="BE73" s="3"/>
    </row>
    <row r="74" spans="1:57" x14ac:dyDescent="0.2">
      <c r="A74" s="69" t="s">
        <v>276</v>
      </c>
      <c r="B74" s="70"/>
      <c r="C74" s="70"/>
      <c r="D74" s="71"/>
      <c r="E74" s="73"/>
      <c r="F74" s="109" t="str">
        <f>HYPERLINK("http://pbs.twimg.com/profile_images/1119577453347987456/JyXj9j4l_normal.jpg")</f>
        <v>http://pbs.twimg.com/profile_images/1119577453347987456/JyXj9j4l_normal.jpg</v>
      </c>
      <c r="G74" s="70"/>
      <c r="H74" s="74"/>
      <c r="I74" s="75"/>
      <c r="J74" s="75"/>
      <c r="K74" s="74" t="s">
        <v>2878</v>
      </c>
      <c r="L74" s="78"/>
      <c r="M74" s="79"/>
      <c r="N74" s="79"/>
      <c r="O74" s="80"/>
      <c r="P74" s="81"/>
      <c r="Q74" s="81"/>
      <c r="R74" s="93"/>
      <c r="S74" s="93"/>
      <c r="T74" s="93"/>
      <c r="U74" s="93"/>
      <c r="V74" s="52"/>
      <c r="W74" s="52"/>
      <c r="X74" s="52"/>
      <c r="Y74" s="52"/>
      <c r="Z74" s="51"/>
      <c r="AA74" s="76"/>
      <c r="AB74" s="76"/>
      <c r="AC74" s="77"/>
      <c r="AD74" s="83" t="s">
        <v>1902</v>
      </c>
      <c r="AE74" s="91" t="s">
        <v>2170</v>
      </c>
      <c r="AF74" s="83">
        <v>2807</v>
      </c>
      <c r="AG74" s="83">
        <v>2037</v>
      </c>
      <c r="AH74" s="83">
        <v>169335</v>
      </c>
      <c r="AI74" s="83">
        <v>192661</v>
      </c>
      <c r="AJ74" s="83"/>
      <c r="AK74" s="83" t="s">
        <v>2430</v>
      </c>
      <c r="AL74" s="83" t="s">
        <v>2684</v>
      </c>
      <c r="AM74" s="83"/>
      <c r="AN74" s="83"/>
      <c r="AO74" s="85">
        <v>42080.716435185182</v>
      </c>
      <c r="AP74" s="88" t="str">
        <f>HYPERLINK("https://pbs.twimg.com/profile_banners/3092863649/1576422733")</f>
        <v>https://pbs.twimg.com/profile_banners/3092863649/1576422733</v>
      </c>
      <c r="AQ74" s="83" t="b">
        <v>1</v>
      </c>
      <c r="AR74" s="83" t="b">
        <v>0</v>
      </c>
      <c r="AS74" s="83" t="b">
        <v>0</v>
      </c>
      <c r="AT74" s="83"/>
      <c r="AU74" s="83">
        <v>3</v>
      </c>
      <c r="AV74" s="88" t="str">
        <f>HYPERLINK("http://abs.twimg.com/images/themes/theme1/bg.png")</f>
        <v>http://abs.twimg.com/images/themes/theme1/bg.png</v>
      </c>
      <c r="AW74" s="83" t="b">
        <v>0</v>
      </c>
      <c r="AX74" s="83" t="s">
        <v>2807</v>
      </c>
      <c r="AY74" s="88" t="str">
        <f>HYPERLINK("https://twitter.com/robygates95")</f>
        <v>https://twitter.com/robygates95</v>
      </c>
      <c r="AZ74" s="83" t="s">
        <v>66</v>
      </c>
      <c r="BA74" s="2"/>
      <c r="BB74" s="3"/>
      <c r="BC74" s="3"/>
      <c r="BD74" s="3"/>
      <c r="BE74" s="3"/>
    </row>
    <row r="75" spans="1:57" x14ac:dyDescent="0.2">
      <c r="A75" s="69" t="s">
        <v>277</v>
      </c>
      <c r="B75" s="70"/>
      <c r="C75" s="70"/>
      <c r="D75" s="71"/>
      <c r="E75" s="73"/>
      <c r="F75" s="109" t="str">
        <f>HYPERLINK("http://pbs.twimg.com/profile_images/2566847124/4ldjz2czyqbqwuy7iybl_normal.jpeg")</f>
        <v>http://pbs.twimg.com/profile_images/2566847124/4ldjz2czyqbqwuy7iybl_normal.jpeg</v>
      </c>
      <c r="G75" s="70"/>
      <c r="H75" s="74"/>
      <c r="I75" s="75"/>
      <c r="J75" s="75"/>
      <c r="K75" s="74" t="s">
        <v>2879</v>
      </c>
      <c r="L75" s="78"/>
      <c r="M75" s="79"/>
      <c r="N75" s="79"/>
      <c r="O75" s="80"/>
      <c r="P75" s="81"/>
      <c r="Q75" s="81"/>
      <c r="R75" s="93"/>
      <c r="S75" s="93"/>
      <c r="T75" s="93"/>
      <c r="U75" s="93"/>
      <c r="V75" s="52"/>
      <c r="W75" s="52"/>
      <c r="X75" s="52"/>
      <c r="Y75" s="52"/>
      <c r="Z75" s="51"/>
      <c r="AA75" s="76"/>
      <c r="AB75" s="76"/>
      <c r="AC75" s="77"/>
      <c r="AD75" s="83" t="s">
        <v>1903</v>
      </c>
      <c r="AE75" s="91" t="s">
        <v>2171</v>
      </c>
      <c r="AF75" s="83">
        <v>3120</v>
      </c>
      <c r="AG75" s="83">
        <v>9148</v>
      </c>
      <c r="AH75" s="83">
        <v>97376</v>
      </c>
      <c r="AI75" s="83">
        <v>134</v>
      </c>
      <c r="AJ75" s="83"/>
      <c r="AK75" s="83" t="s">
        <v>2431</v>
      </c>
      <c r="AL75" s="83" t="s">
        <v>2685</v>
      </c>
      <c r="AM75" s="88" t="str">
        <f>HYPERLINK("http://t.co/zQ65AwtoHD")</f>
        <v>http://t.co/zQ65AwtoHD</v>
      </c>
      <c r="AN75" s="83"/>
      <c r="AO75" s="85">
        <v>39890.392997685187</v>
      </c>
      <c r="AP75" s="88" t="str">
        <f>HYPERLINK("https://pbs.twimg.com/profile_banners/25049283/1370946406")</f>
        <v>https://pbs.twimg.com/profile_banners/25049283/1370946406</v>
      </c>
      <c r="AQ75" s="83" t="b">
        <v>0</v>
      </c>
      <c r="AR75" s="83" t="b">
        <v>0</v>
      </c>
      <c r="AS75" s="83" t="b">
        <v>1</v>
      </c>
      <c r="AT75" s="83"/>
      <c r="AU75" s="83">
        <v>157</v>
      </c>
      <c r="AV75" s="88" t="str">
        <f>HYPERLINK("http://abs.twimg.com/images/themes/theme14/bg.gif")</f>
        <v>http://abs.twimg.com/images/themes/theme14/bg.gif</v>
      </c>
      <c r="AW75" s="83" t="b">
        <v>0</v>
      </c>
      <c r="AX75" s="83" t="s">
        <v>2807</v>
      </c>
      <c r="AY75" s="88" t="str">
        <f>HYPERLINK("https://twitter.com/metalitalia")</f>
        <v>https://twitter.com/metalitalia</v>
      </c>
      <c r="AZ75" s="83" t="s">
        <v>66</v>
      </c>
      <c r="BA75" s="2"/>
      <c r="BB75" s="3"/>
      <c r="BC75" s="3"/>
      <c r="BD75" s="3"/>
      <c r="BE75" s="3"/>
    </row>
    <row r="76" spans="1:57" x14ac:dyDescent="0.2">
      <c r="A76" s="69" t="s">
        <v>278</v>
      </c>
      <c r="B76" s="70"/>
      <c r="C76" s="70"/>
      <c r="D76" s="71"/>
      <c r="E76" s="73"/>
      <c r="F76" s="109" t="str">
        <f>HYPERLINK("http://pbs.twimg.com/profile_images/1279493832514711553/aQTLcQI6_normal.jpg")</f>
        <v>http://pbs.twimg.com/profile_images/1279493832514711553/aQTLcQI6_normal.jpg</v>
      </c>
      <c r="G76" s="70"/>
      <c r="H76" s="74"/>
      <c r="I76" s="75"/>
      <c r="J76" s="75"/>
      <c r="K76" s="74" t="s">
        <v>2880</v>
      </c>
      <c r="L76" s="78"/>
      <c r="M76" s="79"/>
      <c r="N76" s="79"/>
      <c r="O76" s="80"/>
      <c r="P76" s="81"/>
      <c r="Q76" s="81"/>
      <c r="R76" s="93"/>
      <c r="S76" s="93"/>
      <c r="T76" s="93"/>
      <c r="U76" s="93"/>
      <c r="V76" s="52"/>
      <c r="W76" s="52"/>
      <c r="X76" s="52"/>
      <c r="Y76" s="52"/>
      <c r="Z76" s="51"/>
      <c r="AA76" s="76"/>
      <c r="AB76" s="76"/>
      <c r="AC76" s="77"/>
      <c r="AD76" s="83" t="s">
        <v>1904</v>
      </c>
      <c r="AE76" s="91" t="s">
        <v>2172</v>
      </c>
      <c r="AF76" s="83">
        <v>7</v>
      </c>
      <c r="AG76" s="83">
        <v>25</v>
      </c>
      <c r="AH76" s="83">
        <v>2896</v>
      </c>
      <c r="AI76" s="83">
        <v>2892</v>
      </c>
      <c r="AJ76" s="83"/>
      <c r="AK76" s="83" t="s">
        <v>2432</v>
      </c>
      <c r="AL76" s="83"/>
      <c r="AM76" s="83"/>
      <c r="AN76" s="83"/>
      <c r="AO76" s="85">
        <v>43985.618981481479</v>
      </c>
      <c r="AP76" s="88" t="str">
        <f>HYPERLINK("https://pbs.twimg.com/profile_banners/1268193494927056897/1592318612")</f>
        <v>https://pbs.twimg.com/profile_banners/1268193494927056897/1592318612</v>
      </c>
      <c r="AQ76" s="83" t="b">
        <v>1</v>
      </c>
      <c r="AR76" s="83" t="b">
        <v>0</v>
      </c>
      <c r="AS76" s="83" t="b">
        <v>0</v>
      </c>
      <c r="AT76" s="83"/>
      <c r="AU76" s="83">
        <v>0</v>
      </c>
      <c r="AV76" s="83"/>
      <c r="AW76" s="83" t="b">
        <v>0</v>
      </c>
      <c r="AX76" s="83" t="s">
        <v>2807</v>
      </c>
      <c r="AY76" s="88" t="str">
        <f>HYPERLINK("https://twitter.com/riccardoventi10")</f>
        <v>https://twitter.com/riccardoventi10</v>
      </c>
      <c r="AZ76" s="83" t="s">
        <v>66</v>
      </c>
      <c r="BA76" s="2"/>
      <c r="BB76" s="3"/>
      <c r="BC76" s="3"/>
      <c r="BD76" s="3"/>
      <c r="BE76" s="3"/>
    </row>
    <row r="77" spans="1:57" x14ac:dyDescent="0.2">
      <c r="A77" s="69" t="s">
        <v>279</v>
      </c>
      <c r="B77" s="70"/>
      <c r="C77" s="70"/>
      <c r="D77" s="71"/>
      <c r="E77" s="73"/>
      <c r="F77" s="109" t="str">
        <f>HYPERLINK("http://pbs.twimg.com/profile_images/1224230191385337856/m4PY45bH_normal.jpg")</f>
        <v>http://pbs.twimg.com/profile_images/1224230191385337856/m4PY45bH_normal.jpg</v>
      </c>
      <c r="G77" s="70"/>
      <c r="H77" s="74"/>
      <c r="I77" s="75"/>
      <c r="J77" s="75"/>
      <c r="K77" s="74" t="s">
        <v>2881</v>
      </c>
      <c r="L77" s="78"/>
      <c r="M77" s="79"/>
      <c r="N77" s="79"/>
      <c r="O77" s="80"/>
      <c r="P77" s="81"/>
      <c r="Q77" s="81"/>
      <c r="R77" s="93"/>
      <c r="S77" s="93"/>
      <c r="T77" s="93"/>
      <c r="U77" s="93"/>
      <c r="V77" s="52"/>
      <c r="W77" s="52"/>
      <c r="X77" s="52"/>
      <c r="Y77" s="52"/>
      <c r="Z77" s="51"/>
      <c r="AA77" s="76"/>
      <c r="AB77" s="76"/>
      <c r="AC77" s="77"/>
      <c r="AD77" s="83" t="s">
        <v>1905</v>
      </c>
      <c r="AE77" s="91" t="s">
        <v>2173</v>
      </c>
      <c r="AF77" s="83">
        <v>54</v>
      </c>
      <c r="AG77" s="83">
        <v>13</v>
      </c>
      <c r="AH77" s="83">
        <v>363</v>
      </c>
      <c r="AI77" s="83">
        <v>124</v>
      </c>
      <c r="AJ77" s="83"/>
      <c r="AK77" s="83" t="s">
        <v>2433</v>
      </c>
      <c r="AL77" s="83"/>
      <c r="AM77" s="83"/>
      <c r="AN77" s="83"/>
      <c r="AO77" s="85">
        <v>43859.047129629631</v>
      </c>
      <c r="AP77" s="88" t="str">
        <f>HYPERLINK("https://pbs.twimg.com/profile_banners/1222324864419131392/1590201863")</f>
        <v>https://pbs.twimg.com/profile_banners/1222324864419131392/1590201863</v>
      </c>
      <c r="AQ77" s="83" t="b">
        <v>1</v>
      </c>
      <c r="AR77" s="83" t="b">
        <v>0</v>
      </c>
      <c r="AS77" s="83" t="b">
        <v>0</v>
      </c>
      <c r="AT77" s="83"/>
      <c r="AU77" s="83">
        <v>0</v>
      </c>
      <c r="AV77" s="83"/>
      <c r="AW77" s="83" t="b">
        <v>0</v>
      </c>
      <c r="AX77" s="83" t="s">
        <v>2807</v>
      </c>
      <c r="AY77" s="88" t="str">
        <f>HYPERLINK("https://twitter.com/snow_daifukuya")</f>
        <v>https://twitter.com/snow_daifukuya</v>
      </c>
      <c r="AZ77" s="83" t="s">
        <v>66</v>
      </c>
      <c r="BA77" s="2"/>
      <c r="BB77" s="3"/>
      <c r="BC77" s="3"/>
      <c r="BD77" s="3"/>
      <c r="BE77" s="3"/>
    </row>
    <row r="78" spans="1:57" x14ac:dyDescent="0.2">
      <c r="A78" s="69" t="s">
        <v>282</v>
      </c>
      <c r="B78" s="70"/>
      <c r="C78" s="70"/>
      <c r="D78" s="71"/>
      <c r="E78" s="73"/>
      <c r="F78" s="109" t="str">
        <f>HYPERLINK("http://pbs.twimg.com/profile_images/945284466242600966/tNwBCZgT_normal.png")</f>
        <v>http://pbs.twimg.com/profile_images/945284466242600966/tNwBCZgT_normal.png</v>
      </c>
      <c r="G78" s="70"/>
      <c r="H78" s="74"/>
      <c r="I78" s="75"/>
      <c r="J78" s="75"/>
      <c r="K78" s="74" t="s">
        <v>2882</v>
      </c>
      <c r="L78" s="78"/>
      <c r="M78" s="79"/>
      <c r="N78" s="79"/>
      <c r="O78" s="80"/>
      <c r="P78" s="81"/>
      <c r="Q78" s="81"/>
      <c r="R78" s="93"/>
      <c r="S78" s="93"/>
      <c r="T78" s="93"/>
      <c r="U78" s="93"/>
      <c r="V78" s="52"/>
      <c r="W78" s="52"/>
      <c r="X78" s="52"/>
      <c r="Y78" s="52"/>
      <c r="Z78" s="51"/>
      <c r="AA78" s="76"/>
      <c r="AB78" s="76"/>
      <c r="AC78" s="77"/>
      <c r="AD78" s="83" t="s">
        <v>1906</v>
      </c>
      <c r="AE78" s="91" t="s">
        <v>1731</v>
      </c>
      <c r="AF78" s="83">
        <v>462</v>
      </c>
      <c r="AG78" s="83">
        <v>442</v>
      </c>
      <c r="AH78" s="83">
        <v>163319</v>
      </c>
      <c r="AI78" s="83">
        <v>51776</v>
      </c>
      <c r="AJ78" s="83"/>
      <c r="AK78" s="83" t="s">
        <v>2434</v>
      </c>
      <c r="AL78" s="83" t="s">
        <v>2686</v>
      </c>
      <c r="AM78" s="88" t="str">
        <f>HYPERLINK("https://t.co/6f8oCEbVzQ")</f>
        <v>https://t.co/6f8oCEbVzQ</v>
      </c>
      <c r="AN78" s="83"/>
      <c r="AO78" s="85">
        <v>41441.546493055554</v>
      </c>
      <c r="AP78" s="88" t="str">
        <f>HYPERLINK("https://pbs.twimg.com/profile_banners/1522172689/1479352559")</f>
        <v>https://pbs.twimg.com/profile_banners/1522172689/1479352559</v>
      </c>
      <c r="AQ78" s="83" t="b">
        <v>1</v>
      </c>
      <c r="AR78" s="83" t="b">
        <v>0</v>
      </c>
      <c r="AS78" s="83" t="b">
        <v>0</v>
      </c>
      <c r="AT78" s="83"/>
      <c r="AU78" s="83">
        <v>15</v>
      </c>
      <c r="AV78" s="88" t="str">
        <f>HYPERLINK("http://abs.twimg.com/images/themes/theme1/bg.png")</f>
        <v>http://abs.twimg.com/images/themes/theme1/bg.png</v>
      </c>
      <c r="AW78" s="83" t="b">
        <v>0</v>
      </c>
      <c r="AX78" s="83" t="s">
        <v>2807</v>
      </c>
      <c r="AY78" s="88" t="str">
        <f>HYPERLINK("https://twitter.com/kameron_136")</f>
        <v>https://twitter.com/kameron_136</v>
      </c>
      <c r="AZ78" s="83" t="s">
        <v>66</v>
      </c>
      <c r="BA78" s="2"/>
      <c r="BB78" s="3"/>
      <c r="BC78" s="3"/>
      <c r="BD78" s="3"/>
      <c r="BE78" s="3"/>
    </row>
    <row r="79" spans="1:57" x14ac:dyDescent="0.2">
      <c r="A79" s="69" t="s">
        <v>283</v>
      </c>
      <c r="B79" s="70"/>
      <c r="C79" s="70"/>
      <c r="D79" s="71"/>
      <c r="E79" s="73"/>
      <c r="F79" s="109" t="str">
        <f>HYPERLINK("http://pbs.twimg.com/profile_images/3735735073/8d2192d8d41912a0294505747877a9a2_normal.jpeg")</f>
        <v>http://pbs.twimg.com/profile_images/3735735073/8d2192d8d41912a0294505747877a9a2_normal.jpeg</v>
      </c>
      <c r="G79" s="70"/>
      <c r="H79" s="74"/>
      <c r="I79" s="75"/>
      <c r="J79" s="75"/>
      <c r="K79" s="74" t="s">
        <v>2883</v>
      </c>
      <c r="L79" s="78"/>
      <c r="M79" s="79"/>
      <c r="N79" s="79"/>
      <c r="O79" s="80"/>
      <c r="P79" s="81"/>
      <c r="Q79" s="81"/>
      <c r="R79" s="93"/>
      <c r="S79" s="93"/>
      <c r="T79" s="93"/>
      <c r="U79" s="93"/>
      <c r="V79" s="52"/>
      <c r="W79" s="52"/>
      <c r="X79" s="52"/>
      <c r="Y79" s="52"/>
      <c r="Z79" s="51"/>
      <c r="AA79" s="76"/>
      <c r="AB79" s="76"/>
      <c r="AC79" s="77"/>
      <c r="AD79" s="83" t="s">
        <v>1907</v>
      </c>
      <c r="AE79" s="91" t="s">
        <v>2174</v>
      </c>
      <c r="AF79" s="83">
        <v>1151</v>
      </c>
      <c r="AG79" s="83">
        <v>640</v>
      </c>
      <c r="AH79" s="83">
        <v>1299</v>
      </c>
      <c r="AI79" s="83">
        <v>20857</v>
      </c>
      <c r="AJ79" s="83"/>
      <c r="AK79" s="83" t="s">
        <v>2435</v>
      </c>
      <c r="AL79" s="83"/>
      <c r="AM79" s="83"/>
      <c r="AN79" s="83"/>
      <c r="AO79" s="85">
        <v>41409.585821759261</v>
      </c>
      <c r="AP79" s="88" t="str">
        <f>HYPERLINK("https://pbs.twimg.com/profile_banners/1430592608/1404657392")</f>
        <v>https://pbs.twimg.com/profile_banners/1430592608/1404657392</v>
      </c>
      <c r="AQ79" s="83" t="b">
        <v>0</v>
      </c>
      <c r="AR79" s="83" t="b">
        <v>0</v>
      </c>
      <c r="AS79" s="83" t="b">
        <v>1</v>
      </c>
      <c r="AT79" s="83"/>
      <c r="AU79" s="83">
        <v>3</v>
      </c>
      <c r="AV79" s="88" t="str">
        <f>HYPERLINK("http://abs.twimg.com/images/themes/theme1/bg.png")</f>
        <v>http://abs.twimg.com/images/themes/theme1/bg.png</v>
      </c>
      <c r="AW79" s="83" t="b">
        <v>0</v>
      </c>
      <c r="AX79" s="83" t="s">
        <v>2807</v>
      </c>
      <c r="AY79" s="88" t="str">
        <f>HYPERLINK("https://twitter.com/puchiyawa")</f>
        <v>https://twitter.com/puchiyawa</v>
      </c>
      <c r="AZ79" s="83" t="s">
        <v>66</v>
      </c>
      <c r="BA79" s="2"/>
      <c r="BB79" s="3"/>
      <c r="BC79" s="3"/>
      <c r="BD79" s="3"/>
      <c r="BE79" s="3"/>
    </row>
    <row r="80" spans="1:57" x14ac:dyDescent="0.2">
      <c r="A80" s="69" t="s">
        <v>471</v>
      </c>
      <c r="B80" s="70"/>
      <c r="C80" s="70"/>
      <c r="D80" s="71"/>
      <c r="E80" s="73"/>
      <c r="F80" s="109" t="str">
        <f>HYPERLINK("http://pbs.twimg.com/profile_images/1160534515099426817/syzFFndG_normal.jpg")</f>
        <v>http://pbs.twimg.com/profile_images/1160534515099426817/syzFFndG_normal.jpg</v>
      </c>
      <c r="G80" s="70"/>
      <c r="H80" s="74"/>
      <c r="I80" s="75"/>
      <c r="J80" s="75"/>
      <c r="K80" s="74" t="s">
        <v>2884</v>
      </c>
      <c r="L80" s="78"/>
      <c r="M80" s="79"/>
      <c r="N80" s="79"/>
      <c r="O80" s="80"/>
      <c r="P80" s="81"/>
      <c r="Q80" s="81"/>
      <c r="R80" s="93"/>
      <c r="S80" s="93"/>
      <c r="T80" s="93"/>
      <c r="U80" s="93"/>
      <c r="V80" s="52"/>
      <c r="W80" s="52"/>
      <c r="X80" s="52"/>
      <c r="Y80" s="52"/>
      <c r="Z80" s="51"/>
      <c r="AA80" s="76"/>
      <c r="AB80" s="76"/>
      <c r="AC80" s="77"/>
      <c r="AD80" s="83" t="s">
        <v>1908</v>
      </c>
      <c r="AE80" s="91" t="s">
        <v>1732</v>
      </c>
      <c r="AF80" s="83">
        <v>426</v>
      </c>
      <c r="AG80" s="83">
        <v>519</v>
      </c>
      <c r="AH80" s="83">
        <v>31487</v>
      </c>
      <c r="AI80" s="83">
        <v>32233</v>
      </c>
      <c r="AJ80" s="83"/>
      <c r="AK80" s="83" t="s">
        <v>2436</v>
      </c>
      <c r="AL80" s="83" t="s">
        <v>2687</v>
      </c>
      <c r="AM80" s="88" t="str">
        <f>HYPERLINK("https://t.co/f9RRoIf8te")</f>
        <v>https://t.co/f9RRoIf8te</v>
      </c>
      <c r="AN80" s="83"/>
      <c r="AO80" s="85">
        <v>42684.045162037037</v>
      </c>
      <c r="AP80" s="88" t="str">
        <f>HYPERLINK("https://pbs.twimg.com/profile_banners/796518997856428032/1582023345")</f>
        <v>https://pbs.twimg.com/profile_banners/796518997856428032/1582023345</v>
      </c>
      <c r="AQ80" s="83" t="b">
        <v>1</v>
      </c>
      <c r="AR80" s="83" t="b">
        <v>0</v>
      </c>
      <c r="AS80" s="83" t="b">
        <v>0</v>
      </c>
      <c r="AT80" s="83"/>
      <c r="AU80" s="83">
        <v>5</v>
      </c>
      <c r="AV80" s="83"/>
      <c r="AW80" s="83" t="b">
        <v>0</v>
      </c>
      <c r="AX80" s="83" t="s">
        <v>2807</v>
      </c>
      <c r="AY80" s="88" t="str">
        <f>HYPERLINK("https://twitter.com/nikudaisuki7")</f>
        <v>https://twitter.com/nikudaisuki7</v>
      </c>
      <c r="AZ80" s="83" t="s">
        <v>65</v>
      </c>
      <c r="BA80" s="2"/>
      <c r="BB80" s="3"/>
      <c r="BC80" s="3"/>
      <c r="BD80" s="3"/>
      <c r="BE80" s="3"/>
    </row>
    <row r="81" spans="1:57" x14ac:dyDescent="0.2">
      <c r="A81" s="69" t="s">
        <v>284</v>
      </c>
      <c r="B81" s="70"/>
      <c r="C81" s="70"/>
      <c r="D81" s="71"/>
      <c r="E81" s="73"/>
      <c r="F81" s="109" t="str">
        <f>HYPERLINK("http://pbs.twimg.com/profile_images/470952294565941249/UWTBjX3h_normal.png")</f>
        <v>http://pbs.twimg.com/profile_images/470952294565941249/UWTBjX3h_normal.png</v>
      </c>
      <c r="G81" s="70"/>
      <c r="H81" s="74"/>
      <c r="I81" s="75"/>
      <c r="J81" s="75"/>
      <c r="K81" s="74" t="s">
        <v>2885</v>
      </c>
      <c r="L81" s="78"/>
      <c r="M81" s="79"/>
      <c r="N81" s="79"/>
      <c r="O81" s="80"/>
      <c r="P81" s="81"/>
      <c r="Q81" s="81"/>
      <c r="R81" s="93"/>
      <c r="S81" s="93"/>
      <c r="T81" s="93"/>
      <c r="U81" s="93"/>
      <c r="V81" s="52"/>
      <c r="W81" s="52"/>
      <c r="X81" s="52"/>
      <c r="Y81" s="52"/>
      <c r="Z81" s="51"/>
      <c r="AA81" s="76"/>
      <c r="AB81" s="76"/>
      <c r="AC81" s="77"/>
      <c r="AD81" s="83" t="s">
        <v>1909</v>
      </c>
      <c r="AE81" s="91" t="s">
        <v>1733</v>
      </c>
      <c r="AF81" s="83">
        <v>1114</v>
      </c>
      <c r="AG81" s="83">
        <v>1337</v>
      </c>
      <c r="AH81" s="83">
        <v>153350</v>
      </c>
      <c r="AI81" s="83">
        <v>2581</v>
      </c>
      <c r="AJ81" s="83"/>
      <c r="AK81" s="83" t="s">
        <v>2437</v>
      </c>
      <c r="AL81" s="83" t="s">
        <v>2688</v>
      </c>
      <c r="AM81" s="88" t="str">
        <f>HYPERLINK("https://t.co/J50y9P77E2")</f>
        <v>https://t.co/J50y9P77E2</v>
      </c>
      <c r="AN81" s="83"/>
      <c r="AO81" s="85">
        <v>40406.581759259258</v>
      </c>
      <c r="AP81" s="88" t="str">
        <f>HYPERLINK("https://pbs.twimg.com/profile_banners/179094450/1389337362")</f>
        <v>https://pbs.twimg.com/profile_banners/179094450/1389337362</v>
      </c>
      <c r="AQ81" s="83" t="b">
        <v>0</v>
      </c>
      <c r="AR81" s="83" t="b">
        <v>0</v>
      </c>
      <c r="AS81" s="83" t="b">
        <v>1</v>
      </c>
      <c r="AT81" s="83"/>
      <c r="AU81" s="83">
        <v>100</v>
      </c>
      <c r="AV81" s="88" t="str">
        <f>HYPERLINK("http://abs.twimg.com/images/themes/theme16/bg.gif")</f>
        <v>http://abs.twimg.com/images/themes/theme16/bg.gif</v>
      </c>
      <c r="AW81" s="83" t="b">
        <v>0</v>
      </c>
      <c r="AX81" s="83" t="s">
        <v>2807</v>
      </c>
      <c r="AY81" s="88" t="str">
        <f>HYPERLINK("https://twitter.com/akiyoshi_kamide")</f>
        <v>https://twitter.com/akiyoshi_kamide</v>
      </c>
      <c r="AZ81" s="83" t="s">
        <v>66</v>
      </c>
      <c r="BA81" s="2"/>
      <c r="BB81" s="3"/>
      <c r="BC81" s="3"/>
      <c r="BD81" s="3"/>
      <c r="BE81" s="3"/>
    </row>
    <row r="82" spans="1:57" x14ac:dyDescent="0.2">
      <c r="A82" s="69" t="s">
        <v>285</v>
      </c>
      <c r="B82" s="70"/>
      <c r="C82" s="70"/>
      <c r="D82" s="71"/>
      <c r="E82" s="73"/>
      <c r="F82" s="109" t="str">
        <f>HYPERLINK("http://pbs.twimg.com/profile_images/570503521259102208/W5V50UbE_normal.jpeg")</f>
        <v>http://pbs.twimg.com/profile_images/570503521259102208/W5V50UbE_normal.jpeg</v>
      </c>
      <c r="G82" s="70"/>
      <c r="H82" s="74"/>
      <c r="I82" s="75"/>
      <c r="J82" s="75"/>
      <c r="K82" s="74" t="s">
        <v>2886</v>
      </c>
      <c r="L82" s="78"/>
      <c r="M82" s="79"/>
      <c r="N82" s="79"/>
      <c r="O82" s="80"/>
      <c r="P82" s="81"/>
      <c r="Q82" s="81"/>
      <c r="R82" s="93"/>
      <c r="S82" s="93"/>
      <c r="T82" s="93"/>
      <c r="U82" s="93"/>
      <c r="V82" s="52"/>
      <c r="W82" s="52"/>
      <c r="X82" s="52"/>
      <c r="Y82" s="52"/>
      <c r="Z82" s="51"/>
      <c r="AA82" s="76"/>
      <c r="AB82" s="76"/>
      <c r="AC82" s="77"/>
      <c r="AD82" s="83" t="s">
        <v>1910</v>
      </c>
      <c r="AE82" s="91" t="s">
        <v>2175</v>
      </c>
      <c r="AF82" s="83">
        <v>162</v>
      </c>
      <c r="AG82" s="83">
        <v>42</v>
      </c>
      <c r="AH82" s="83">
        <v>2846</v>
      </c>
      <c r="AI82" s="83">
        <v>1446</v>
      </c>
      <c r="AJ82" s="83"/>
      <c r="AK82" s="83" t="s">
        <v>2438</v>
      </c>
      <c r="AL82" s="83" t="s">
        <v>2689</v>
      </c>
      <c r="AM82" s="83"/>
      <c r="AN82" s="83"/>
      <c r="AO82" s="85">
        <v>40669.525833333333</v>
      </c>
      <c r="AP82" s="88" t="str">
        <f>HYPERLINK("https://pbs.twimg.com/profile_banners/294040416/1405417397")</f>
        <v>https://pbs.twimg.com/profile_banners/294040416/1405417397</v>
      </c>
      <c r="AQ82" s="83" t="b">
        <v>0</v>
      </c>
      <c r="AR82" s="83" t="b">
        <v>0</v>
      </c>
      <c r="AS82" s="83" t="b">
        <v>0</v>
      </c>
      <c r="AT82" s="83"/>
      <c r="AU82" s="83">
        <v>3</v>
      </c>
      <c r="AV82" s="88" t="str">
        <f>HYPERLINK("http://abs.twimg.com/images/themes/theme1/bg.png")</f>
        <v>http://abs.twimg.com/images/themes/theme1/bg.png</v>
      </c>
      <c r="AW82" s="83" t="b">
        <v>0</v>
      </c>
      <c r="AX82" s="83" t="s">
        <v>2807</v>
      </c>
      <c r="AY82" s="88" t="str">
        <f>HYPERLINK("https://twitter.com/maybeflush")</f>
        <v>https://twitter.com/maybeflush</v>
      </c>
      <c r="AZ82" s="83" t="s">
        <v>66</v>
      </c>
      <c r="BA82" s="2"/>
      <c r="BB82" s="3"/>
      <c r="BC82" s="3"/>
      <c r="BD82" s="3"/>
      <c r="BE82" s="3"/>
    </row>
    <row r="83" spans="1:57" x14ac:dyDescent="0.2">
      <c r="A83" s="69" t="s">
        <v>286</v>
      </c>
      <c r="B83" s="70"/>
      <c r="C83" s="70"/>
      <c r="D83" s="71"/>
      <c r="E83" s="73"/>
      <c r="F83" s="109" t="str">
        <f>HYPERLINK("http://pbs.twimg.com/profile_images/1143520624280662016/abvpJYHp_normal.png")</f>
        <v>http://pbs.twimg.com/profile_images/1143520624280662016/abvpJYHp_normal.png</v>
      </c>
      <c r="G83" s="70"/>
      <c r="H83" s="74"/>
      <c r="I83" s="75"/>
      <c r="J83" s="75"/>
      <c r="K83" s="74" t="s">
        <v>2887</v>
      </c>
      <c r="L83" s="78"/>
      <c r="M83" s="79"/>
      <c r="N83" s="79"/>
      <c r="O83" s="80"/>
      <c r="P83" s="81"/>
      <c r="Q83" s="81"/>
      <c r="R83" s="93"/>
      <c r="S83" s="93"/>
      <c r="T83" s="93"/>
      <c r="U83" s="93"/>
      <c r="V83" s="52"/>
      <c r="W83" s="52"/>
      <c r="X83" s="52"/>
      <c r="Y83" s="52"/>
      <c r="Z83" s="51"/>
      <c r="AA83" s="76"/>
      <c r="AB83" s="76"/>
      <c r="AC83" s="77"/>
      <c r="AD83" s="83" t="s">
        <v>286</v>
      </c>
      <c r="AE83" s="91" t="s">
        <v>2176</v>
      </c>
      <c r="AF83" s="83">
        <v>105</v>
      </c>
      <c r="AG83" s="83">
        <v>154</v>
      </c>
      <c r="AH83" s="83">
        <v>2435</v>
      </c>
      <c r="AI83" s="83">
        <v>6054</v>
      </c>
      <c r="AJ83" s="83"/>
      <c r="AK83" s="83" t="s">
        <v>2439</v>
      </c>
      <c r="AL83" s="83" t="s">
        <v>2690</v>
      </c>
      <c r="AM83" s="83"/>
      <c r="AN83" s="83"/>
      <c r="AO83" s="85">
        <v>43641.586689814816</v>
      </c>
      <c r="AP83" s="83"/>
      <c r="AQ83" s="83" t="b">
        <v>1</v>
      </c>
      <c r="AR83" s="83" t="b">
        <v>0</v>
      </c>
      <c r="AS83" s="83" t="b">
        <v>0</v>
      </c>
      <c r="AT83" s="83"/>
      <c r="AU83" s="83">
        <v>1</v>
      </c>
      <c r="AV83" s="83"/>
      <c r="AW83" s="83" t="b">
        <v>0</v>
      </c>
      <c r="AX83" s="83" t="s">
        <v>2807</v>
      </c>
      <c r="AY83" s="88" t="str">
        <f>HYPERLINK("https://twitter.com/asner_enl")</f>
        <v>https://twitter.com/asner_enl</v>
      </c>
      <c r="AZ83" s="83" t="s">
        <v>66</v>
      </c>
      <c r="BA83" s="2"/>
      <c r="BB83" s="3"/>
      <c r="BC83" s="3"/>
      <c r="BD83" s="3"/>
      <c r="BE83" s="3"/>
    </row>
    <row r="84" spans="1:57" x14ac:dyDescent="0.2">
      <c r="A84" s="69" t="s">
        <v>298</v>
      </c>
      <c r="B84" s="70"/>
      <c r="C84" s="70"/>
      <c r="D84" s="71"/>
      <c r="E84" s="73"/>
      <c r="F84" s="109" t="str">
        <f>HYPERLINK("http://pbs.twimg.com/profile_images/985893489350131713/6T37Onm3_normal.jpg")</f>
        <v>http://pbs.twimg.com/profile_images/985893489350131713/6T37Onm3_normal.jpg</v>
      </c>
      <c r="G84" s="70"/>
      <c r="H84" s="74"/>
      <c r="I84" s="75"/>
      <c r="J84" s="75"/>
      <c r="K84" s="74" t="s">
        <v>2888</v>
      </c>
      <c r="L84" s="78"/>
      <c r="M84" s="79"/>
      <c r="N84" s="79"/>
      <c r="O84" s="80"/>
      <c r="P84" s="81"/>
      <c r="Q84" s="81"/>
      <c r="R84" s="93"/>
      <c r="S84" s="93"/>
      <c r="T84" s="93"/>
      <c r="U84" s="93"/>
      <c r="V84" s="52"/>
      <c r="W84" s="52"/>
      <c r="X84" s="52"/>
      <c r="Y84" s="52"/>
      <c r="Z84" s="51"/>
      <c r="AA84" s="76"/>
      <c r="AB84" s="76"/>
      <c r="AC84" s="77"/>
      <c r="AD84" s="83" t="s">
        <v>1911</v>
      </c>
      <c r="AE84" s="91" t="s">
        <v>2177</v>
      </c>
      <c r="AF84" s="83">
        <v>13</v>
      </c>
      <c r="AG84" s="83">
        <v>2133</v>
      </c>
      <c r="AH84" s="83">
        <v>1573</v>
      </c>
      <c r="AI84" s="83">
        <v>6</v>
      </c>
      <c r="AJ84" s="83"/>
      <c r="AK84" s="83" t="s">
        <v>2440</v>
      </c>
      <c r="AL84" s="83" t="s">
        <v>1789</v>
      </c>
      <c r="AM84" s="88" t="str">
        <f>HYPERLINK("https://t.co/CLggHgEiUn")</f>
        <v>https://t.co/CLggHgEiUn</v>
      </c>
      <c r="AN84" s="83"/>
      <c r="AO84" s="85">
        <v>43206.617685185185</v>
      </c>
      <c r="AP84" s="88" t="str">
        <f>HYPERLINK("https://pbs.twimg.com/profile_banners/985892936997994496/1523915179")</f>
        <v>https://pbs.twimg.com/profile_banners/985892936997994496/1523915179</v>
      </c>
      <c r="AQ84" s="83" t="b">
        <v>1</v>
      </c>
      <c r="AR84" s="83" t="b">
        <v>0</v>
      </c>
      <c r="AS84" s="83" t="b">
        <v>0</v>
      </c>
      <c r="AT84" s="83"/>
      <c r="AU84" s="83">
        <v>44</v>
      </c>
      <c r="AV84" s="83"/>
      <c r="AW84" s="83" t="b">
        <v>0</v>
      </c>
      <c r="AX84" s="83" t="s">
        <v>2807</v>
      </c>
      <c r="AY84" s="88" t="str">
        <f>HYPERLINK("https://twitter.com/enltodayjapan")</f>
        <v>https://twitter.com/enltodayjapan</v>
      </c>
      <c r="AZ84" s="83" t="s">
        <v>66</v>
      </c>
      <c r="BA84" s="2"/>
      <c r="BB84" s="3"/>
      <c r="BC84" s="3"/>
      <c r="BD84" s="3"/>
      <c r="BE84" s="3"/>
    </row>
    <row r="85" spans="1:57" x14ac:dyDescent="0.2">
      <c r="A85" s="69" t="s">
        <v>287</v>
      </c>
      <c r="B85" s="70"/>
      <c r="C85" s="70"/>
      <c r="D85" s="71"/>
      <c r="E85" s="73"/>
      <c r="F85" s="109" t="str">
        <f>HYPERLINK("http://pbs.twimg.com/profile_images/1096387554771853314/QrQNn1L3_normal.jpg")</f>
        <v>http://pbs.twimg.com/profile_images/1096387554771853314/QrQNn1L3_normal.jpg</v>
      </c>
      <c r="G85" s="70"/>
      <c r="H85" s="74"/>
      <c r="I85" s="75"/>
      <c r="J85" s="75"/>
      <c r="K85" s="74" t="s">
        <v>2889</v>
      </c>
      <c r="L85" s="78"/>
      <c r="M85" s="79"/>
      <c r="N85" s="79"/>
      <c r="O85" s="80"/>
      <c r="P85" s="81"/>
      <c r="Q85" s="81"/>
      <c r="R85" s="93"/>
      <c r="S85" s="93"/>
      <c r="T85" s="93"/>
      <c r="U85" s="93"/>
      <c r="V85" s="52"/>
      <c r="W85" s="52"/>
      <c r="X85" s="52"/>
      <c r="Y85" s="52"/>
      <c r="Z85" s="51"/>
      <c r="AA85" s="76"/>
      <c r="AB85" s="76"/>
      <c r="AC85" s="77"/>
      <c r="AD85" s="83" t="s">
        <v>1912</v>
      </c>
      <c r="AE85" s="91" t="s">
        <v>2178</v>
      </c>
      <c r="AF85" s="83">
        <v>428</v>
      </c>
      <c r="AG85" s="83">
        <v>349</v>
      </c>
      <c r="AH85" s="83">
        <v>13576</v>
      </c>
      <c r="AI85" s="83">
        <v>3514</v>
      </c>
      <c r="AJ85" s="83"/>
      <c r="AK85" s="83" t="s">
        <v>2441</v>
      </c>
      <c r="AL85" s="83" t="s">
        <v>2687</v>
      </c>
      <c r="AM85" s="88" t="str">
        <f>HYPERLINK("https://t.co/foE2VoptnF")</f>
        <v>https://t.co/foE2VoptnF</v>
      </c>
      <c r="AN85" s="83"/>
      <c r="AO85" s="85">
        <v>40190.183553240742</v>
      </c>
      <c r="AP85" s="88" t="str">
        <f>HYPERLINK("https://pbs.twimg.com/profile_banners/104067136/1543623683")</f>
        <v>https://pbs.twimg.com/profile_banners/104067136/1543623683</v>
      </c>
      <c r="AQ85" s="83" t="b">
        <v>1</v>
      </c>
      <c r="AR85" s="83" t="b">
        <v>0</v>
      </c>
      <c r="AS85" s="83" t="b">
        <v>1</v>
      </c>
      <c r="AT85" s="83"/>
      <c r="AU85" s="83">
        <v>16</v>
      </c>
      <c r="AV85" s="88" t="str">
        <f>HYPERLINK("http://abs.twimg.com/images/themes/theme1/bg.png")</f>
        <v>http://abs.twimg.com/images/themes/theme1/bg.png</v>
      </c>
      <c r="AW85" s="83" t="b">
        <v>0</v>
      </c>
      <c r="AX85" s="83" t="s">
        <v>2807</v>
      </c>
      <c r="AY85" s="88" t="str">
        <f>HYPERLINK("https://twitter.com/yasubox")</f>
        <v>https://twitter.com/yasubox</v>
      </c>
      <c r="AZ85" s="83" t="s">
        <v>66</v>
      </c>
      <c r="BA85" s="2"/>
      <c r="BB85" s="3"/>
      <c r="BC85" s="3"/>
      <c r="BD85" s="3"/>
      <c r="BE85" s="3"/>
    </row>
    <row r="86" spans="1:57" x14ac:dyDescent="0.2">
      <c r="A86" s="69" t="s">
        <v>288</v>
      </c>
      <c r="B86" s="70"/>
      <c r="C86" s="70"/>
      <c r="D86" s="71"/>
      <c r="E86" s="73"/>
      <c r="F86" s="109" t="str">
        <f>HYPERLINK("http://pbs.twimg.com/profile_images/1242389989498818560/g3xihQXf_normal.jpg")</f>
        <v>http://pbs.twimg.com/profile_images/1242389989498818560/g3xihQXf_normal.jpg</v>
      </c>
      <c r="G86" s="70"/>
      <c r="H86" s="74"/>
      <c r="I86" s="75"/>
      <c r="J86" s="75"/>
      <c r="K86" s="74" t="s">
        <v>2890</v>
      </c>
      <c r="L86" s="78"/>
      <c r="M86" s="79"/>
      <c r="N86" s="79"/>
      <c r="O86" s="80"/>
      <c r="P86" s="81"/>
      <c r="Q86" s="81"/>
      <c r="R86" s="93"/>
      <c r="S86" s="93"/>
      <c r="T86" s="93"/>
      <c r="U86" s="93"/>
      <c r="V86" s="52"/>
      <c r="W86" s="52"/>
      <c r="X86" s="52"/>
      <c r="Y86" s="52"/>
      <c r="Z86" s="51"/>
      <c r="AA86" s="76"/>
      <c r="AB86" s="76"/>
      <c r="AC86" s="77"/>
      <c r="AD86" s="83" t="s">
        <v>1913</v>
      </c>
      <c r="AE86" s="91" t="s">
        <v>2179</v>
      </c>
      <c r="AF86" s="83">
        <v>372</v>
      </c>
      <c r="AG86" s="83">
        <v>253</v>
      </c>
      <c r="AH86" s="83">
        <v>3550</v>
      </c>
      <c r="AI86" s="83">
        <v>2093</v>
      </c>
      <c r="AJ86" s="83"/>
      <c r="AK86" s="83" t="s">
        <v>2442</v>
      </c>
      <c r="AL86" s="83"/>
      <c r="AM86" s="83"/>
      <c r="AN86" s="83"/>
      <c r="AO86" s="85">
        <v>43323.518333333333</v>
      </c>
      <c r="AP86" s="88" t="str">
        <f>HYPERLINK("https://pbs.twimg.com/profile_banners/1028256316903444480/1575118594")</f>
        <v>https://pbs.twimg.com/profile_banners/1028256316903444480/1575118594</v>
      </c>
      <c r="AQ86" s="83" t="b">
        <v>1</v>
      </c>
      <c r="AR86" s="83" t="b">
        <v>0</v>
      </c>
      <c r="AS86" s="83" t="b">
        <v>1</v>
      </c>
      <c r="AT86" s="83"/>
      <c r="AU86" s="83">
        <v>9</v>
      </c>
      <c r="AV86" s="83"/>
      <c r="AW86" s="83" t="b">
        <v>0</v>
      </c>
      <c r="AX86" s="83" t="s">
        <v>2807</v>
      </c>
      <c r="AY86" s="88" t="str">
        <f>HYPERLINK("https://twitter.com/hackyugioh")</f>
        <v>https://twitter.com/hackyugioh</v>
      </c>
      <c r="AZ86" s="83" t="s">
        <v>66</v>
      </c>
      <c r="BA86" s="2"/>
      <c r="BB86" s="3"/>
      <c r="BC86" s="3"/>
      <c r="BD86" s="3"/>
      <c r="BE86" s="3"/>
    </row>
    <row r="87" spans="1:57" x14ac:dyDescent="0.2">
      <c r="A87" s="69" t="s">
        <v>289</v>
      </c>
      <c r="B87" s="70"/>
      <c r="C87" s="70"/>
      <c r="D87" s="71"/>
      <c r="E87" s="73"/>
      <c r="F87" s="109" t="str">
        <f>HYPERLINK("http://pbs.twimg.com/profile_images/1269674987490643968/cyiupOKQ_normal.jpg")</f>
        <v>http://pbs.twimg.com/profile_images/1269674987490643968/cyiupOKQ_normal.jpg</v>
      </c>
      <c r="G87" s="70"/>
      <c r="H87" s="74"/>
      <c r="I87" s="75"/>
      <c r="J87" s="75"/>
      <c r="K87" s="74" t="s">
        <v>2891</v>
      </c>
      <c r="L87" s="78"/>
      <c r="M87" s="79"/>
      <c r="N87" s="79"/>
      <c r="O87" s="80"/>
      <c r="P87" s="81"/>
      <c r="Q87" s="81"/>
      <c r="R87" s="93"/>
      <c r="S87" s="93"/>
      <c r="T87" s="93"/>
      <c r="U87" s="93"/>
      <c r="V87" s="52"/>
      <c r="W87" s="52"/>
      <c r="X87" s="52"/>
      <c r="Y87" s="52"/>
      <c r="Z87" s="51"/>
      <c r="AA87" s="76"/>
      <c r="AB87" s="76"/>
      <c r="AC87" s="77"/>
      <c r="AD87" s="83" t="s">
        <v>1914</v>
      </c>
      <c r="AE87" s="91" t="s">
        <v>2180</v>
      </c>
      <c r="AF87" s="83">
        <v>123</v>
      </c>
      <c r="AG87" s="83">
        <v>102</v>
      </c>
      <c r="AH87" s="83">
        <v>72</v>
      </c>
      <c r="AI87" s="83">
        <v>56</v>
      </c>
      <c r="AJ87" s="83"/>
      <c r="AK87" s="83" t="s">
        <v>2443</v>
      </c>
      <c r="AL87" s="83"/>
      <c r="AM87" s="83"/>
      <c r="AN87" s="83"/>
      <c r="AO87" s="85">
        <v>43978.659918981481</v>
      </c>
      <c r="AP87" s="88" t="str">
        <f>HYPERLINK("https://pbs.twimg.com/profile_banners/1265671626739216384/1590595299")</f>
        <v>https://pbs.twimg.com/profile_banners/1265671626739216384/1590595299</v>
      </c>
      <c r="AQ87" s="83" t="b">
        <v>1</v>
      </c>
      <c r="AR87" s="83" t="b">
        <v>0</v>
      </c>
      <c r="AS87" s="83" t="b">
        <v>0</v>
      </c>
      <c r="AT87" s="83"/>
      <c r="AU87" s="83">
        <v>0</v>
      </c>
      <c r="AV87" s="83"/>
      <c r="AW87" s="83" t="b">
        <v>0</v>
      </c>
      <c r="AX87" s="83" t="s">
        <v>2807</v>
      </c>
      <c r="AY87" s="88" t="str">
        <f>HYPERLINK("https://twitter.com/rikumaru_suisan")</f>
        <v>https://twitter.com/rikumaru_suisan</v>
      </c>
      <c r="AZ87" s="83" t="s">
        <v>66</v>
      </c>
      <c r="BA87" s="2"/>
      <c r="BB87" s="3"/>
      <c r="BC87" s="3"/>
      <c r="BD87" s="3"/>
      <c r="BE87" s="3"/>
    </row>
    <row r="88" spans="1:57" x14ac:dyDescent="0.2">
      <c r="A88" s="69" t="s">
        <v>290</v>
      </c>
      <c r="B88" s="70"/>
      <c r="C88" s="70"/>
      <c r="D88" s="71"/>
      <c r="E88" s="73"/>
      <c r="F88" s="109" t="str">
        <f>HYPERLINK("http://pbs.twimg.com/profile_images/1144975718889095168/gWDB_zY-_normal.jpg")</f>
        <v>http://pbs.twimg.com/profile_images/1144975718889095168/gWDB_zY-_normal.jpg</v>
      </c>
      <c r="G88" s="70"/>
      <c r="H88" s="74"/>
      <c r="I88" s="75"/>
      <c r="J88" s="75"/>
      <c r="K88" s="74" t="s">
        <v>2892</v>
      </c>
      <c r="L88" s="78"/>
      <c r="M88" s="79"/>
      <c r="N88" s="79"/>
      <c r="O88" s="80"/>
      <c r="P88" s="81"/>
      <c r="Q88" s="81"/>
      <c r="R88" s="93"/>
      <c r="S88" s="93"/>
      <c r="T88" s="93"/>
      <c r="U88" s="93"/>
      <c r="V88" s="52"/>
      <c r="W88" s="52"/>
      <c r="X88" s="52"/>
      <c r="Y88" s="52"/>
      <c r="Z88" s="51"/>
      <c r="AA88" s="76"/>
      <c r="AB88" s="76"/>
      <c r="AC88" s="77"/>
      <c r="AD88" s="83">
        <v>2273</v>
      </c>
      <c r="AE88" s="91" t="s">
        <v>2181</v>
      </c>
      <c r="AF88" s="83">
        <v>17</v>
      </c>
      <c r="AG88" s="83">
        <v>25</v>
      </c>
      <c r="AH88" s="83">
        <v>5168</v>
      </c>
      <c r="AI88" s="83">
        <v>269</v>
      </c>
      <c r="AJ88" s="83"/>
      <c r="AK88" s="83" t="s">
        <v>2444</v>
      </c>
      <c r="AL88" s="83"/>
      <c r="AM88" s="83"/>
      <c r="AN88" s="83"/>
      <c r="AO88" s="85">
        <v>41129.511365740742</v>
      </c>
      <c r="AP88" s="88" t="str">
        <f>HYPERLINK("https://pbs.twimg.com/profile_banners/745084826/1498886048")</f>
        <v>https://pbs.twimg.com/profile_banners/745084826/1498886048</v>
      </c>
      <c r="AQ88" s="83" t="b">
        <v>1</v>
      </c>
      <c r="AR88" s="83" t="b">
        <v>0</v>
      </c>
      <c r="AS88" s="83" t="b">
        <v>0</v>
      </c>
      <c r="AT88" s="83"/>
      <c r="AU88" s="83">
        <v>1</v>
      </c>
      <c r="AV88" s="88" t="str">
        <f>HYPERLINK("http://abs.twimg.com/images/themes/theme1/bg.png")</f>
        <v>http://abs.twimg.com/images/themes/theme1/bg.png</v>
      </c>
      <c r="AW88" s="83" t="b">
        <v>0</v>
      </c>
      <c r="AX88" s="83" t="s">
        <v>2807</v>
      </c>
      <c r="AY88" s="88" t="str">
        <f>HYPERLINK("https://twitter.com/gnk_poke5")</f>
        <v>https://twitter.com/gnk_poke5</v>
      </c>
      <c r="AZ88" s="83" t="s">
        <v>66</v>
      </c>
      <c r="BA88" s="2"/>
      <c r="BB88" s="3"/>
      <c r="BC88" s="3"/>
      <c r="BD88" s="3"/>
      <c r="BE88" s="3"/>
    </row>
    <row r="89" spans="1:57" x14ac:dyDescent="0.2">
      <c r="A89" s="69" t="s">
        <v>439</v>
      </c>
      <c r="B89" s="70"/>
      <c r="C89" s="70"/>
      <c r="D89" s="71"/>
      <c r="E89" s="73"/>
      <c r="F89" s="109" t="str">
        <f>HYPERLINK("http://pbs.twimg.com/profile_images/1059879923182034944/PfS-PQsO_normal.jpg")</f>
        <v>http://pbs.twimg.com/profile_images/1059879923182034944/PfS-PQsO_normal.jpg</v>
      </c>
      <c r="G89" s="70"/>
      <c r="H89" s="74"/>
      <c r="I89" s="75"/>
      <c r="J89" s="75"/>
      <c r="K89" s="74" t="s">
        <v>2893</v>
      </c>
      <c r="L89" s="78"/>
      <c r="M89" s="79"/>
      <c r="N89" s="79"/>
      <c r="O89" s="80"/>
      <c r="P89" s="81"/>
      <c r="Q89" s="81"/>
      <c r="R89" s="93"/>
      <c r="S89" s="93"/>
      <c r="T89" s="93"/>
      <c r="U89" s="93"/>
      <c r="V89" s="52"/>
      <c r="W89" s="52"/>
      <c r="X89" s="52"/>
      <c r="Y89" s="52"/>
      <c r="Z89" s="51"/>
      <c r="AA89" s="76"/>
      <c r="AB89" s="76"/>
      <c r="AC89" s="77"/>
      <c r="AD89" s="83" t="s">
        <v>1915</v>
      </c>
      <c r="AE89" s="91" t="s">
        <v>2182</v>
      </c>
      <c r="AF89" s="83">
        <v>32</v>
      </c>
      <c r="AG89" s="83">
        <v>51</v>
      </c>
      <c r="AH89" s="83">
        <v>3935</v>
      </c>
      <c r="AI89" s="83">
        <v>2938</v>
      </c>
      <c r="AJ89" s="83"/>
      <c r="AK89" s="83" t="s">
        <v>2445</v>
      </c>
      <c r="AL89" s="83" t="s">
        <v>2691</v>
      </c>
      <c r="AM89" s="83"/>
      <c r="AN89" s="83"/>
      <c r="AO89" s="85">
        <v>43400.531064814815</v>
      </c>
      <c r="AP89" s="83"/>
      <c r="AQ89" s="83" t="b">
        <v>1</v>
      </c>
      <c r="AR89" s="83" t="b">
        <v>0</v>
      </c>
      <c r="AS89" s="83" t="b">
        <v>0</v>
      </c>
      <c r="AT89" s="83"/>
      <c r="AU89" s="83">
        <v>0</v>
      </c>
      <c r="AV89" s="83"/>
      <c r="AW89" s="83" t="b">
        <v>0</v>
      </c>
      <c r="AX89" s="83" t="s">
        <v>2807</v>
      </c>
      <c r="AY89" s="88" t="str">
        <f>HYPERLINK("https://twitter.com/pokemon_fumi")</f>
        <v>https://twitter.com/pokemon_fumi</v>
      </c>
      <c r="AZ89" s="83" t="s">
        <v>66</v>
      </c>
      <c r="BA89" s="2"/>
      <c r="BB89" s="3"/>
      <c r="BC89" s="3"/>
      <c r="BD89" s="3"/>
      <c r="BE89" s="3"/>
    </row>
    <row r="90" spans="1:57" x14ac:dyDescent="0.2">
      <c r="A90" s="69" t="s">
        <v>291</v>
      </c>
      <c r="B90" s="70"/>
      <c r="C90" s="70"/>
      <c r="D90" s="71"/>
      <c r="E90" s="73"/>
      <c r="F90" s="109" t="str">
        <f>HYPERLINK("http://pbs.twimg.com/profile_images/1260278731152797697/J_Pwwo7G_normal.jpg")</f>
        <v>http://pbs.twimg.com/profile_images/1260278731152797697/J_Pwwo7G_normal.jpg</v>
      </c>
      <c r="G90" s="70"/>
      <c r="H90" s="74"/>
      <c r="I90" s="75"/>
      <c r="J90" s="75"/>
      <c r="K90" s="74" t="s">
        <v>2894</v>
      </c>
      <c r="L90" s="78"/>
      <c r="M90" s="79"/>
      <c r="N90" s="79"/>
      <c r="O90" s="80"/>
      <c r="P90" s="81"/>
      <c r="Q90" s="81"/>
      <c r="R90" s="93"/>
      <c r="S90" s="93"/>
      <c r="T90" s="93"/>
      <c r="U90" s="93"/>
      <c r="V90" s="52"/>
      <c r="W90" s="52"/>
      <c r="X90" s="52"/>
      <c r="Y90" s="52"/>
      <c r="Z90" s="51"/>
      <c r="AA90" s="76"/>
      <c r="AB90" s="76"/>
      <c r="AC90" s="77"/>
      <c r="AD90" s="83" t="s">
        <v>1916</v>
      </c>
      <c r="AE90" s="91" t="s">
        <v>2183</v>
      </c>
      <c r="AF90" s="83">
        <v>208</v>
      </c>
      <c r="AG90" s="83">
        <v>1143</v>
      </c>
      <c r="AH90" s="83">
        <v>1244</v>
      </c>
      <c r="AI90" s="83">
        <v>44</v>
      </c>
      <c r="AJ90" s="83"/>
      <c r="AK90" s="83" t="s">
        <v>2446</v>
      </c>
      <c r="AL90" s="83" t="s">
        <v>2692</v>
      </c>
      <c r="AM90" s="88" t="str">
        <f>HYPERLINK("https://t.co/zGNLukq1Sg")</f>
        <v>https://t.co/zGNLukq1Sg</v>
      </c>
      <c r="AN90" s="83"/>
      <c r="AO90" s="85">
        <v>40774.820393518516</v>
      </c>
      <c r="AP90" s="88" t="str">
        <f>HYPERLINK("https://pbs.twimg.com/profile_banners/358347361/1589308839")</f>
        <v>https://pbs.twimg.com/profile_banners/358347361/1589308839</v>
      </c>
      <c r="AQ90" s="83" t="b">
        <v>0</v>
      </c>
      <c r="AR90" s="83" t="b">
        <v>0</v>
      </c>
      <c r="AS90" s="83" t="b">
        <v>1</v>
      </c>
      <c r="AT90" s="83"/>
      <c r="AU90" s="83">
        <v>19</v>
      </c>
      <c r="AV90" s="88" t="str">
        <f>HYPERLINK("http://abs.twimg.com/images/themes/theme1/bg.png")</f>
        <v>http://abs.twimg.com/images/themes/theme1/bg.png</v>
      </c>
      <c r="AW90" s="83" t="b">
        <v>0</v>
      </c>
      <c r="AX90" s="83" t="s">
        <v>2807</v>
      </c>
      <c r="AY90" s="88" t="str">
        <f>HYPERLINK("https://twitter.com/transwestttrv")</f>
        <v>https://twitter.com/transwestttrv</v>
      </c>
      <c r="AZ90" s="83" t="s">
        <v>66</v>
      </c>
      <c r="BA90" s="2"/>
      <c r="BB90" s="3"/>
      <c r="BC90" s="3"/>
      <c r="BD90" s="3"/>
      <c r="BE90" s="3"/>
    </row>
    <row r="91" spans="1:57" x14ac:dyDescent="0.2">
      <c r="A91" s="69" t="s">
        <v>292</v>
      </c>
      <c r="B91" s="70"/>
      <c r="C91" s="70"/>
      <c r="D91" s="71"/>
      <c r="E91" s="73"/>
      <c r="F91" s="109" t="str">
        <f>HYPERLINK("http://pbs.twimg.com/profile_images/958024890044616705/IM-k4_hr_normal.jpg")</f>
        <v>http://pbs.twimg.com/profile_images/958024890044616705/IM-k4_hr_normal.jpg</v>
      </c>
      <c r="G91" s="70"/>
      <c r="H91" s="74"/>
      <c r="I91" s="75"/>
      <c r="J91" s="75"/>
      <c r="K91" s="74" t="s">
        <v>2895</v>
      </c>
      <c r="L91" s="78"/>
      <c r="M91" s="79"/>
      <c r="N91" s="79"/>
      <c r="O91" s="80"/>
      <c r="P91" s="81"/>
      <c r="Q91" s="81"/>
      <c r="R91" s="93"/>
      <c r="S91" s="93"/>
      <c r="T91" s="93"/>
      <c r="U91" s="93"/>
      <c r="V91" s="52"/>
      <c r="W91" s="52"/>
      <c r="X91" s="52"/>
      <c r="Y91" s="52"/>
      <c r="Z91" s="51"/>
      <c r="AA91" s="76"/>
      <c r="AB91" s="76"/>
      <c r="AC91" s="77"/>
      <c r="AD91" s="83" t="s">
        <v>1917</v>
      </c>
      <c r="AE91" s="91" t="s">
        <v>2184</v>
      </c>
      <c r="AF91" s="83">
        <v>220</v>
      </c>
      <c r="AG91" s="83">
        <v>390</v>
      </c>
      <c r="AH91" s="83">
        <v>12555</v>
      </c>
      <c r="AI91" s="83">
        <v>32469</v>
      </c>
      <c r="AJ91" s="83"/>
      <c r="AK91" s="83" t="s">
        <v>2447</v>
      </c>
      <c r="AL91" s="83" t="s">
        <v>2693</v>
      </c>
      <c r="AM91" s="83"/>
      <c r="AN91" s="83"/>
      <c r="AO91" s="85">
        <v>41822.906678240739</v>
      </c>
      <c r="AP91" s="88" t="str">
        <f>HYPERLINK("https://pbs.twimg.com/profile_banners/2600508428/1517245021")</f>
        <v>https://pbs.twimg.com/profile_banners/2600508428/1517245021</v>
      </c>
      <c r="AQ91" s="83" t="b">
        <v>0</v>
      </c>
      <c r="AR91" s="83" t="b">
        <v>0</v>
      </c>
      <c r="AS91" s="83" t="b">
        <v>1</v>
      </c>
      <c r="AT91" s="83"/>
      <c r="AU91" s="83">
        <v>12</v>
      </c>
      <c r="AV91" s="88" t="str">
        <f>HYPERLINK("http://abs.twimg.com/images/themes/theme1/bg.png")</f>
        <v>http://abs.twimg.com/images/themes/theme1/bg.png</v>
      </c>
      <c r="AW91" s="83" t="b">
        <v>0</v>
      </c>
      <c r="AX91" s="83" t="s">
        <v>2807</v>
      </c>
      <c r="AY91" s="88" t="str">
        <f>HYPERLINK("https://twitter.com/bchrisspinks")</f>
        <v>https://twitter.com/bchrisspinks</v>
      </c>
      <c r="AZ91" s="83" t="s">
        <v>66</v>
      </c>
      <c r="BA91" s="2"/>
      <c r="BB91" s="3"/>
      <c r="BC91" s="3"/>
      <c r="BD91" s="3"/>
      <c r="BE91" s="3"/>
    </row>
    <row r="92" spans="1:57" x14ac:dyDescent="0.2">
      <c r="A92" s="69" t="s">
        <v>472</v>
      </c>
      <c r="B92" s="70"/>
      <c r="C92" s="70"/>
      <c r="D92" s="71"/>
      <c r="E92" s="73"/>
      <c r="F92" s="109" t="str">
        <f>HYPERLINK("http://pbs.twimg.com/profile_images/1103652638934077442/iOROFdI9_normal.png")</f>
        <v>http://pbs.twimg.com/profile_images/1103652638934077442/iOROFdI9_normal.png</v>
      </c>
      <c r="G92" s="70"/>
      <c r="H92" s="74"/>
      <c r="I92" s="75"/>
      <c r="J92" s="75"/>
      <c r="K92" s="74" t="s">
        <v>2896</v>
      </c>
      <c r="L92" s="78"/>
      <c r="M92" s="79"/>
      <c r="N92" s="79"/>
      <c r="O92" s="80"/>
      <c r="P92" s="81"/>
      <c r="Q92" s="81"/>
      <c r="R92" s="93"/>
      <c r="S92" s="93"/>
      <c r="T92" s="93"/>
      <c r="U92" s="93"/>
      <c r="V92" s="52"/>
      <c r="W92" s="52"/>
      <c r="X92" s="52"/>
      <c r="Y92" s="52"/>
      <c r="Z92" s="51"/>
      <c r="AA92" s="76"/>
      <c r="AB92" s="76"/>
      <c r="AC92" s="77"/>
      <c r="AD92" s="83" t="s">
        <v>1918</v>
      </c>
      <c r="AE92" s="91" t="s">
        <v>2185</v>
      </c>
      <c r="AF92" s="83">
        <v>279</v>
      </c>
      <c r="AG92" s="83">
        <v>98</v>
      </c>
      <c r="AH92" s="83">
        <v>71</v>
      </c>
      <c r="AI92" s="83">
        <v>71</v>
      </c>
      <c r="AJ92" s="83"/>
      <c r="AK92" s="83" t="s">
        <v>2448</v>
      </c>
      <c r="AL92" s="83" t="s">
        <v>2694</v>
      </c>
      <c r="AM92" s="88" t="str">
        <f>HYPERLINK("https://t.co/JUXxgptTZx")</f>
        <v>https://t.co/JUXxgptTZx</v>
      </c>
      <c r="AN92" s="83"/>
      <c r="AO92" s="85">
        <v>43368.406354166669</v>
      </c>
      <c r="AP92" s="88" t="str">
        <f>HYPERLINK("https://pbs.twimg.com/profile_banners/1044523190251384838/1551965941")</f>
        <v>https://pbs.twimg.com/profile_banners/1044523190251384838/1551965941</v>
      </c>
      <c r="AQ92" s="83" t="b">
        <v>0</v>
      </c>
      <c r="AR92" s="83" t="b">
        <v>0</v>
      </c>
      <c r="AS92" s="83" t="b">
        <v>0</v>
      </c>
      <c r="AT92" s="83"/>
      <c r="AU92" s="83">
        <v>2</v>
      </c>
      <c r="AV92" s="88" t="str">
        <f>HYPERLINK("http://abs.twimg.com/images/themes/theme1/bg.png")</f>
        <v>http://abs.twimg.com/images/themes/theme1/bg.png</v>
      </c>
      <c r="AW92" s="83" t="b">
        <v>0</v>
      </c>
      <c r="AX92" s="83" t="s">
        <v>2807</v>
      </c>
      <c r="AY92" s="88" t="str">
        <f>HYPERLINK("https://twitter.com/atlasbrewing")</f>
        <v>https://twitter.com/atlasbrewing</v>
      </c>
      <c r="AZ92" s="83" t="s">
        <v>65</v>
      </c>
      <c r="BA92" s="2"/>
      <c r="BB92" s="3"/>
      <c r="BC92" s="3"/>
      <c r="BD92" s="3"/>
      <c r="BE92" s="3"/>
    </row>
    <row r="93" spans="1:57" x14ac:dyDescent="0.2">
      <c r="A93" s="69" t="s">
        <v>473</v>
      </c>
      <c r="B93" s="70"/>
      <c r="C93" s="70"/>
      <c r="D93" s="71"/>
      <c r="E93" s="73"/>
      <c r="F93" s="109" t="str">
        <f>HYPERLINK("http://pbs.twimg.com/profile_images/890977175263956992/9maVZwFv_normal.jpg")</f>
        <v>http://pbs.twimg.com/profile_images/890977175263956992/9maVZwFv_normal.jpg</v>
      </c>
      <c r="G93" s="70"/>
      <c r="H93" s="74"/>
      <c r="I93" s="75"/>
      <c r="J93" s="75"/>
      <c r="K93" s="74" t="s">
        <v>2897</v>
      </c>
      <c r="L93" s="78"/>
      <c r="M93" s="79"/>
      <c r="N93" s="79"/>
      <c r="O93" s="80"/>
      <c r="P93" s="81"/>
      <c r="Q93" s="81"/>
      <c r="R93" s="93"/>
      <c r="S93" s="93"/>
      <c r="T93" s="93"/>
      <c r="U93" s="93"/>
      <c r="V93" s="52"/>
      <c r="W93" s="52"/>
      <c r="X93" s="52"/>
      <c r="Y93" s="52"/>
      <c r="Z93" s="51"/>
      <c r="AA93" s="76"/>
      <c r="AB93" s="76"/>
      <c r="AC93" s="77"/>
      <c r="AD93" s="83" t="s">
        <v>1919</v>
      </c>
      <c r="AE93" s="91" t="s">
        <v>2186</v>
      </c>
      <c r="AF93" s="83">
        <v>1507</v>
      </c>
      <c r="AG93" s="83">
        <v>10087</v>
      </c>
      <c r="AH93" s="83">
        <v>9339</v>
      </c>
      <c r="AI93" s="83">
        <v>3975</v>
      </c>
      <c r="AJ93" s="83"/>
      <c r="AK93" s="83" t="s">
        <v>2449</v>
      </c>
      <c r="AL93" s="83" t="s">
        <v>2695</v>
      </c>
      <c r="AM93" s="88" t="str">
        <f>HYPERLINK("https://t.co/VtNR4iGwAS")</f>
        <v>https://t.co/VtNR4iGwAS</v>
      </c>
      <c r="AN93" s="83"/>
      <c r="AO93" s="85">
        <v>41159.00644675926</v>
      </c>
      <c r="AP93" s="88" t="str">
        <f>HYPERLINK("https://pbs.twimg.com/profile_banners/807847382/1572343704")</f>
        <v>https://pbs.twimg.com/profile_banners/807847382/1572343704</v>
      </c>
      <c r="AQ93" s="83" t="b">
        <v>0</v>
      </c>
      <c r="AR93" s="83" t="b">
        <v>0</v>
      </c>
      <c r="AS93" s="83" t="b">
        <v>1</v>
      </c>
      <c r="AT93" s="83"/>
      <c r="AU93" s="83">
        <v>130</v>
      </c>
      <c r="AV93" s="88" t="str">
        <f>HYPERLINK("http://abs.twimg.com/images/themes/theme1/bg.png")</f>
        <v>http://abs.twimg.com/images/themes/theme1/bg.png</v>
      </c>
      <c r="AW93" s="83" t="b">
        <v>0</v>
      </c>
      <c r="AX93" s="83" t="s">
        <v>2807</v>
      </c>
      <c r="AY93" s="88" t="str">
        <f>HYPERLINK("https://twitter.com/flavourly")</f>
        <v>https://twitter.com/flavourly</v>
      </c>
      <c r="AZ93" s="83" t="s">
        <v>65</v>
      </c>
      <c r="BA93" s="2"/>
      <c r="BB93" s="3"/>
      <c r="BC93" s="3"/>
      <c r="BD93" s="3"/>
      <c r="BE93" s="3"/>
    </row>
    <row r="94" spans="1:57" x14ac:dyDescent="0.2">
      <c r="A94" s="69" t="s">
        <v>293</v>
      </c>
      <c r="B94" s="70"/>
      <c r="C94" s="70"/>
      <c r="D94" s="71"/>
      <c r="E94" s="73"/>
      <c r="F94" s="109" t="str">
        <f>HYPERLINK("http://pbs.twimg.com/profile_images/1269268783765446656/EIlM1HcE_normal.jpg")</f>
        <v>http://pbs.twimg.com/profile_images/1269268783765446656/EIlM1HcE_normal.jpg</v>
      </c>
      <c r="G94" s="70"/>
      <c r="H94" s="74"/>
      <c r="I94" s="75"/>
      <c r="J94" s="75"/>
      <c r="K94" s="74" t="s">
        <v>2898</v>
      </c>
      <c r="L94" s="78"/>
      <c r="M94" s="79"/>
      <c r="N94" s="79"/>
      <c r="O94" s="80"/>
      <c r="P94" s="81"/>
      <c r="Q94" s="81"/>
      <c r="R94" s="93"/>
      <c r="S94" s="93"/>
      <c r="T94" s="93"/>
      <c r="U94" s="93"/>
      <c r="V94" s="52"/>
      <c r="W94" s="52"/>
      <c r="X94" s="52"/>
      <c r="Y94" s="52"/>
      <c r="Z94" s="51"/>
      <c r="AA94" s="76"/>
      <c r="AB94" s="76"/>
      <c r="AC94" s="77"/>
      <c r="AD94" s="83" t="s">
        <v>1920</v>
      </c>
      <c r="AE94" s="91" t="s">
        <v>2187</v>
      </c>
      <c r="AF94" s="83">
        <v>179</v>
      </c>
      <c r="AG94" s="83">
        <v>124</v>
      </c>
      <c r="AH94" s="83">
        <v>4431</v>
      </c>
      <c r="AI94" s="83">
        <v>5129</v>
      </c>
      <c r="AJ94" s="83"/>
      <c r="AK94" s="83" t="s">
        <v>2450</v>
      </c>
      <c r="AL94" s="83" t="s">
        <v>2696</v>
      </c>
      <c r="AM94" s="83"/>
      <c r="AN94" s="83"/>
      <c r="AO94" s="85">
        <v>42415.31040509259</v>
      </c>
      <c r="AP94" s="88" t="str">
        <f>HYPERLINK("https://pbs.twimg.com/profile_banners/4910266375/1537053547")</f>
        <v>https://pbs.twimg.com/profile_banners/4910266375/1537053547</v>
      </c>
      <c r="AQ94" s="83" t="b">
        <v>1</v>
      </c>
      <c r="AR94" s="83" t="b">
        <v>0</v>
      </c>
      <c r="AS94" s="83" t="b">
        <v>0</v>
      </c>
      <c r="AT94" s="83"/>
      <c r="AU94" s="83">
        <v>1</v>
      </c>
      <c r="AV94" s="83"/>
      <c r="AW94" s="83" t="b">
        <v>0</v>
      </c>
      <c r="AX94" s="83" t="s">
        <v>2807</v>
      </c>
      <c r="AY94" s="88" t="str">
        <f>HYPERLINK("https://twitter.com/ddsk_ckrn")</f>
        <v>https://twitter.com/ddsk_ckrn</v>
      </c>
      <c r="AZ94" s="83" t="s">
        <v>66</v>
      </c>
      <c r="BA94" s="2"/>
      <c r="BB94" s="3"/>
      <c r="BC94" s="3"/>
      <c r="BD94" s="3"/>
      <c r="BE94" s="3"/>
    </row>
    <row r="95" spans="1:57" x14ac:dyDescent="0.2">
      <c r="A95" s="69" t="s">
        <v>294</v>
      </c>
      <c r="B95" s="70"/>
      <c r="C95" s="70"/>
      <c r="D95" s="71"/>
      <c r="E95" s="73"/>
      <c r="F95" s="109" t="str">
        <f>HYPERLINK("http://pbs.twimg.com/profile_images/1278173876522872838/fHEuMNpR_normal.jpg")</f>
        <v>http://pbs.twimg.com/profile_images/1278173876522872838/fHEuMNpR_normal.jpg</v>
      </c>
      <c r="G95" s="70"/>
      <c r="H95" s="74"/>
      <c r="I95" s="75"/>
      <c r="J95" s="75"/>
      <c r="K95" s="74" t="s">
        <v>2899</v>
      </c>
      <c r="L95" s="78"/>
      <c r="M95" s="79"/>
      <c r="N95" s="79"/>
      <c r="O95" s="80"/>
      <c r="P95" s="81"/>
      <c r="Q95" s="81"/>
      <c r="R95" s="93"/>
      <c r="S95" s="93"/>
      <c r="T95" s="93"/>
      <c r="U95" s="93"/>
      <c r="V95" s="52"/>
      <c r="W95" s="52"/>
      <c r="X95" s="52"/>
      <c r="Y95" s="52"/>
      <c r="Z95" s="51"/>
      <c r="AA95" s="76"/>
      <c r="AB95" s="76"/>
      <c r="AC95" s="77"/>
      <c r="AD95" s="83" t="s">
        <v>1921</v>
      </c>
      <c r="AE95" s="91" t="s">
        <v>2188</v>
      </c>
      <c r="AF95" s="83">
        <v>34</v>
      </c>
      <c r="AG95" s="83">
        <v>29</v>
      </c>
      <c r="AH95" s="83">
        <v>354</v>
      </c>
      <c r="AI95" s="83">
        <v>99</v>
      </c>
      <c r="AJ95" s="83"/>
      <c r="AK95" s="83" t="s">
        <v>2451</v>
      </c>
      <c r="AL95" s="83" t="s">
        <v>2697</v>
      </c>
      <c r="AM95" s="83"/>
      <c r="AN95" s="83"/>
      <c r="AO95" s="85">
        <v>40903.633738425924</v>
      </c>
      <c r="AP95" s="88" t="str">
        <f>HYPERLINK("https://pbs.twimg.com/profile_banners/447143206/1584870460")</f>
        <v>https://pbs.twimg.com/profile_banners/447143206/1584870460</v>
      </c>
      <c r="AQ95" s="83" t="b">
        <v>1</v>
      </c>
      <c r="AR95" s="83" t="b">
        <v>0</v>
      </c>
      <c r="AS95" s="83" t="b">
        <v>0</v>
      </c>
      <c r="AT95" s="83"/>
      <c r="AU95" s="83">
        <v>2</v>
      </c>
      <c r="AV95" s="88" t="str">
        <f>HYPERLINK("http://abs.twimg.com/images/themes/theme1/bg.png")</f>
        <v>http://abs.twimg.com/images/themes/theme1/bg.png</v>
      </c>
      <c r="AW95" s="83" t="b">
        <v>0</v>
      </c>
      <c r="AX95" s="83" t="s">
        <v>2807</v>
      </c>
      <c r="AY95" s="88" t="str">
        <f>HYPERLINK("https://twitter.com/nharl_the_mage")</f>
        <v>https://twitter.com/nharl_the_mage</v>
      </c>
      <c r="AZ95" s="83" t="s">
        <v>66</v>
      </c>
      <c r="BA95" s="2"/>
      <c r="BB95" s="3"/>
      <c r="BC95" s="3"/>
      <c r="BD95" s="3"/>
      <c r="BE95" s="3"/>
    </row>
    <row r="96" spans="1:57" x14ac:dyDescent="0.2">
      <c r="A96" s="69" t="s">
        <v>295</v>
      </c>
      <c r="B96" s="70"/>
      <c r="C96" s="70"/>
      <c r="D96" s="71"/>
      <c r="E96" s="73"/>
      <c r="F96" s="109" t="str">
        <f>HYPERLINK("http://pbs.twimg.com/profile_images/1021590809601224704/TsBdQClT_normal.jpg")</f>
        <v>http://pbs.twimg.com/profile_images/1021590809601224704/TsBdQClT_normal.jpg</v>
      </c>
      <c r="G96" s="70"/>
      <c r="H96" s="74"/>
      <c r="I96" s="75"/>
      <c r="J96" s="75"/>
      <c r="K96" s="74" t="s">
        <v>2900</v>
      </c>
      <c r="L96" s="78"/>
      <c r="M96" s="79"/>
      <c r="N96" s="79"/>
      <c r="O96" s="80"/>
      <c r="P96" s="81"/>
      <c r="Q96" s="81"/>
      <c r="R96" s="93"/>
      <c r="S96" s="93"/>
      <c r="T96" s="93"/>
      <c r="U96" s="93"/>
      <c r="V96" s="52"/>
      <c r="W96" s="52"/>
      <c r="X96" s="52"/>
      <c r="Y96" s="52"/>
      <c r="Z96" s="51"/>
      <c r="AA96" s="76"/>
      <c r="AB96" s="76"/>
      <c r="AC96" s="77"/>
      <c r="AD96" s="83" t="s">
        <v>1922</v>
      </c>
      <c r="AE96" s="91" t="s">
        <v>2189</v>
      </c>
      <c r="AF96" s="83">
        <v>57</v>
      </c>
      <c r="AG96" s="83">
        <v>65</v>
      </c>
      <c r="AH96" s="83">
        <v>933</v>
      </c>
      <c r="AI96" s="83">
        <v>245</v>
      </c>
      <c r="AJ96" s="83"/>
      <c r="AK96" s="83" t="s">
        <v>2452</v>
      </c>
      <c r="AL96" s="83" t="s">
        <v>2698</v>
      </c>
      <c r="AM96" s="83"/>
      <c r="AN96" s="83"/>
      <c r="AO96" s="85">
        <v>43084.085277777776</v>
      </c>
      <c r="AP96" s="88" t="str">
        <f>HYPERLINK("https://pbs.twimg.com/profile_banners/941488681734496256/1560298145")</f>
        <v>https://pbs.twimg.com/profile_banners/941488681734496256/1560298145</v>
      </c>
      <c r="AQ96" s="83" t="b">
        <v>0</v>
      </c>
      <c r="AR96" s="83" t="b">
        <v>0</v>
      </c>
      <c r="AS96" s="83" t="b">
        <v>0</v>
      </c>
      <c r="AT96" s="83"/>
      <c r="AU96" s="83">
        <v>1</v>
      </c>
      <c r="AV96" s="88" t="str">
        <f>HYPERLINK("http://abs.twimg.com/images/themes/theme1/bg.png")</f>
        <v>http://abs.twimg.com/images/themes/theme1/bg.png</v>
      </c>
      <c r="AW96" s="83" t="b">
        <v>0</v>
      </c>
      <c r="AX96" s="83" t="s">
        <v>2807</v>
      </c>
      <c r="AY96" s="88" t="str">
        <f>HYPERLINK("https://twitter.com/tajurina")</f>
        <v>https://twitter.com/tajurina</v>
      </c>
      <c r="AZ96" s="83" t="s">
        <v>66</v>
      </c>
      <c r="BA96" s="2"/>
      <c r="BB96" s="3"/>
      <c r="BC96" s="3"/>
      <c r="BD96" s="3"/>
      <c r="BE96" s="3"/>
    </row>
    <row r="97" spans="1:57" x14ac:dyDescent="0.2">
      <c r="A97" s="69" t="s">
        <v>296</v>
      </c>
      <c r="B97" s="70"/>
      <c r="C97" s="70"/>
      <c r="D97" s="71"/>
      <c r="E97" s="73"/>
      <c r="F97" s="109" t="str">
        <f>HYPERLINK("http://pbs.twimg.com/profile_images/1149559177561329664/DWA9Ghi2_normal.png")</f>
        <v>http://pbs.twimg.com/profile_images/1149559177561329664/DWA9Ghi2_normal.png</v>
      </c>
      <c r="G97" s="70"/>
      <c r="H97" s="74"/>
      <c r="I97" s="75"/>
      <c r="J97" s="75"/>
      <c r="K97" s="74" t="s">
        <v>2901</v>
      </c>
      <c r="L97" s="78"/>
      <c r="M97" s="79"/>
      <c r="N97" s="79"/>
      <c r="O97" s="80"/>
      <c r="P97" s="81"/>
      <c r="Q97" s="81"/>
      <c r="R97" s="93"/>
      <c r="S97" s="93"/>
      <c r="T97" s="93"/>
      <c r="U97" s="93"/>
      <c r="V97" s="52"/>
      <c r="W97" s="52"/>
      <c r="X97" s="52"/>
      <c r="Y97" s="52"/>
      <c r="Z97" s="51"/>
      <c r="AA97" s="76"/>
      <c r="AB97" s="76"/>
      <c r="AC97" s="77"/>
      <c r="AD97" s="83" t="s">
        <v>1923</v>
      </c>
      <c r="AE97" s="91" t="s">
        <v>2190</v>
      </c>
      <c r="AF97" s="83">
        <v>49</v>
      </c>
      <c r="AG97" s="83">
        <v>15</v>
      </c>
      <c r="AH97" s="83">
        <v>11705</v>
      </c>
      <c r="AI97" s="83">
        <v>112</v>
      </c>
      <c r="AJ97" s="83"/>
      <c r="AK97" s="83" t="s">
        <v>2453</v>
      </c>
      <c r="AL97" s="83" t="s">
        <v>2648</v>
      </c>
      <c r="AM97" s="83"/>
      <c r="AN97" s="83"/>
      <c r="AO97" s="85">
        <v>43657.140856481485</v>
      </c>
      <c r="AP97" s="88" t="str">
        <f>HYPERLINK("https://pbs.twimg.com/profile_banners/1149157070177886208/1562912627")</f>
        <v>https://pbs.twimg.com/profile_banners/1149157070177886208/1562912627</v>
      </c>
      <c r="AQ97" s="83" t="b">
        <v>0</v>
      </c>
      <c r="AR97" s="83" t="b">
        <v>0</v>
      </c>
      <c r="AS97" s="83" t="b">
        <v>0</v>
      </c>
      <c r="AT97" s="83"/>
      <c r="AU97" s="83">
        <v>0</v>
      </c>
      <c r="AV97" s="88" t="str">
        <f>HYPERLINK("http://abs.twimg.com/images/themes/theme1/bg.png")</f>
        <v>http://abs.twimg.com/images/themes/theme1/bg.png</v>
      </c>
      <c r="AW97" s="83" t="b">
        <v>0</v>
      </c>
      <c r="AX97" s="83" t="s">
        <v>2807</v>
      </c>
      <c r="AY97" s="88" t="str">
        <f>HYPERLINK("https://twitter.com/lssenterprise")</f>
        <v>https://twitter.com/lssenterprise</v>
      </c>
      <c r="AZ97" s="83" t="s">
        <v>66</v>
      </c>
      <c r="BA97" s="2"/>
      <c r="BB97" s="3"/>
      <c r="BC97" s="3"/>
      <c r="BD97" s="3"/>
      <c r="BE97" s="3"/>
    </row>
    <row r="98" spans="1:57" x14ac:dyDescent="0.2">
      <c r="A98" s="69" t="s">
        <v>297</v>
      </c>
      <c r="B98" s="70"/>
      <c r="C98" s="70"/>
      <c r="D98" s="71"/>
      <c r="E98" s="73"/>
      <c r="F98" s="109" t="str">
        <f>HYPERLINK("http://pbs.twimg.com/profile_images/1232899444460277760/21Yx0kkR_normal.jpg")</f>
        <v>http://pbs.twimg.com/profile_images/1232899444460277760/21Yx0kkR_normal.jpg</v>
      </c>
      <c r="G98" s="70"/>
      <c r="H98" s="74"/>
      <c r="I98" s="75"/>
      <c r="J98" s="75"/>
      <c r="K98" s="74" t="s">
        <v>2902</v>
      </c>
      <c r="L98" s="78"/>
      <c r="M98" s="79"/>
      <c r="N98" s="79"/>
      <c r="O98" s="80"/>
      <c r="P98" s="81"/>
      <c r="Q98" s="81"/>
      <c r="R98" s="93"/>
      <c r="S98" s="93"/>
      <c r="T98" s="93"/>
      <c r="U98" s="93"/>
      <c r="V98" s="52"/>
      <c r="W98" s="52"/>
      <c r="X98" s="52"/>
      <c r="Y98" s="52"/>
      <c r="Z98" s="51"/>
      <c r="AA98" s="76"/>
      <c r="AB98" s="76"/>
      <c r="AC98" s="77"/>
      <c r="AD98" s="83" t="s">
        <v>1924</v>
      </c>
      <c r="AE98" s="91" t="s">
        <v>1734</v>
      </c>
      <c r="AF98" s="83">
        <v>4</v>
      </c>
      <c r="AG98" s="83">
        <v>0</v>
      </c>
      <c r="AH98" s="83">
        <v>23</v>
      </c>
      <c r="AI98" s="83">
        <v>0</v>
      </c>
      <c r="AJ98" s="83"/>
      <c r="AK98" s="83" t="s">
        <v>2454</v>
      </c>
      <c r="AL98" s="83"/>
      <c r="AM98" s="83"/>
      <c r="AN98" s="83"/>
      <c r="AO98" s="85">
        <v>43888.225115740737</v>
      </c>
      <c r="AP98" s="83"/>
      <c r="AQ98" s="83" t="b">
        <v>1</v>
      </c>
      <c r="AR98" s="83" t="b">
        <v>0</v>
      </c>
      <c r="AS98" s="83" t="b">
        <v>0</v>
      </c>
      <c r="AT98" s="83"/>
      <c r="AU98" s="83">
        <v>0</v>
      </c>
      <c r="AV98" s="83"/>
      <c r="AW98" s="83" t="b">
        <v>0</v>
      </c>
      <c r="AX98" s="83" t="s">
        <v>2807</v>
      </c>
      <c r="AY98" s="88" t="str">
        <f>HYPERLINK("https://twitter.com/menbei_oishii")</f>
        <v>https://twitter.com/menbei_oishii</v>
      </c>
      <c r="AZ98" s="83" t="s">
        <v>66</v>
      </c>
      <c r="BA98" s="2"/>
      <c r="BB98" s="3"/>
      <c r="BC98" s="3"/>
      <c r="BD98" s="3"/>
      <c r="BE98" s="3"/>
    </row>
    <row r="99" spans="1:57" x14ac:dyDescent="0.2">
      <c r="A99" s="69" t="s">
        <v>299</v>
      </c>
      <c r="B99" s="70"/>
      <c r="C99" s="70"/>
      <c r="D99" s="71"/>
      <c r="E99" s="73"/>
      <c r="F99" s="109" t="str">
        <f>HYPERLINK("http://pbs.twimg.com/profile_images/646680431186710528/ByAc8sq4_normal.jpg")</f>
        <v>http://pbs.twimg.com/profile_images/646680431186710528/ByAc8sq4_normal.jpg</v>
      </c>
      <c r="G99" s="70"/>
      <c r="H99" s="74"/>
      <c r="I99" s="75"/>
      <c r="J99" s="75"/>
      <c r="K99" s="74" t="s">
        <v>2903</v>
      </c>
      <c r="L99" s="78"/>
      <c r="M99" s="79"/>
      <c r="N99" s="79"/>
      <c r="O99" s="80"/>
      <c r="P99" s="81"/>
      <c r="Q99" s="81"/>
      <c r="R99" s="93"/>
      <c r="S99" s="93"/>
      <c r="T99" s="93"/>
      <c r="U99" s="93"/>
      <c r="V99" s="52"/>
      <c r="W99" s="52"/>
      <c r="X99" s="52"/>
      <c r="Y99" s="52"/>
      <c r="Z99" s="51"/>
      <c r="AA99" s="76"/>
      <c r="AB99" s="76"/>
      <c r="AC99" s="77"/>
      <c r="AD99" s="83" t="s">
        <v>1925</v>
      </c>
      <c r="AE99" s="91" t="s">
        <v>2191</v>
      </c>
      <c r="AF99" s="83">
        <v>2349</v>
      </c>
      <c r="AG99" s="83">
        <v>720</v>
      </c>
      <c r="AH99" s="83">
        <v>185595</v>
      </c>
      <c r="AI99" s="83">
        <v>136931</v>
      </c>
      <c r="AJ99" s="83"/>
      <c r="AK99" s="83" t="s">
        <v>2455</v>
      </c>
      <c r="AL99" s="83" t="s">
        <v>2699</v>
      </c>
      <c r="AM99" s="88" t="str">
        <f>HYPERLINK("https://t.co/MA7uREblhR")</f>
        <v>https://t.co/MA7uREblhR</v>
      </c>
      <c r="AN99" s="83"/>
      <c r="AO99" s="85">
        <v>42270.566759259258</v>
      </c>
      <c r="AP99" s="88" t="str">
        <f>HYPERLINK("https://pbs.twimg.com/profile_banners/3660009032/1490454487")</f>
        <v>https://pbs.twimg.com/profile_banners/3660009032/1490454487</v>
      </c>
      <c r="AQ99" s="83" t="b">
        <v>1</v>
      </c>
      <c r="AR99" s="83" t="b">
        <v>0</v>
      </c>
      <c r="AS99" s="83" t="b">
        <v>1</v>
      </c>
      <c r="AT99" s="83"/>
      <c r="AU99" s="83">
        <v>29</v>
      </c>
      <c r="AV99" s="88" t="str">
        <f>HYPERLINK("http://abs.twimg.com/images/themes/theme1/bg.png")</f>
        <v>http://abs.twimg.com/images/themes/theme1/bg.png</v>
      </c>
      <c r="AW99" s="83" t="b">
        <v>0</v>
      </c>
      <c r="AX99" s="83" t="s">
        <v>2807</v>
      </c>
      <c r="AY99" s="88" t="str">
        <f>HYPERLINK("https://twitter.com/ruindig")</f>
        <v>https://twitter.com/ruindig</v>
      </c>
      <c r="AZ99" s="83" t="s">
        <v>66</v>
      </c>
      <c r="BA99" s="2"/>
      <c r="BB99" s="3"/>
      <c r="BC99" s="3"/>
      <c r="BD99" s="3"/>
      <c r="BE99" s="3"/>
    </row>
    <row r="100" spans="1:57" x14ac:dyDescent="0.2">
      <c r="A100" s="69" t="s">
        <v>300</v>
      </c>
      <c r="B100" s="70"/>
      <c r="C100" s="70"/>
      <c r="D100" s="71"/>
      <c r="E100" s="73"/>
      <c r="F100" s="109" t="str">
        <f>HYPERLINK("http://pbs.twimg.com/profile_images/1217668647679737856/k4arz3G1_normal.jpg")</f>
        <v>http://pbs.twimg.com/profile_images/1217668647679737856/k4arz3G1_normal.jpg</v>
      </c>
      <c r="G100" s="70"/>
      <c r="H100" s="74"/>
      <c r="I100" s="75"/>
      <c r="J100" s="75"/>
      <c r="K100" s="74" t="s">
        <v>2904</v>
      </c>
      <c r="L100" s="78"/>
      <c r="M100" s="79"/>
      <c r="N100" s="79"/>
      <c r="O100" s="80"/>
      <c r="P100" s="81"/>
      <c r="Q100" s="81"/>
      <c r="R100" s="93"/>
      <c r="S100" s="93"/>
      <c r="T100" s="93"/>
      <c r="U100" s="93"/>
      <c r="V100" s="52"/>
      <c r="W100" s="52"/>
      <c r="X100" s="52"/>
      <c r="Y100" s="52"/>
      <c r="Z100" s="51"/>
      <c r="AA100" s="76"/>
      <c r="AB100" s="76"/>
      <c r="AC100" s="77"/>
      <c r="AD100" s="83" t="s">
        <v>1926</v>
      </c>
      <c r="AE100" s="91" t="s">
        <v>2192</v>
      </c>
      <c r="AF100" s="83">
        <v>259</v>
      </c>
      <c r="AG100" s="83">
        <v>213</v>
      </c>
      <c r="AH100" s="83">
        <v>27651</v>
      </c>
      <c r="AI100" s="83">
        <v>53996</v>
      </c>
      <c r="AJ100" s="83"/>
      <c r="AK100" s="83" t="s">
        <v>2456</v>
      </c>
      <c r="AL100" s="83" t="s">
        <v>2690</v>
      </c>
      <c r="AM100" s="83"/>
      <c r="AN100" s="83"/>
      <c r="AO100" s="85">
        <v>40914.39166666667</v>
      </c>
      <c r="AP100" s="88" t="str">
        <f>HYPERLINK("https://pbs.twimg.com/profile_banners/456488819/1568641672")</f>
        <v>https://pbs.twimg.com/profile_banners/456488819/1568641672</v>
      </c>
      <c r="AQ100" s="83" t="b">
        <v>1</v>
      </c>
      <c r="AR100" s="83" t="b">
        <v>0</v>
      </c>
      <c r="AS100" s="83" t="b">
        <v>1</v>
      </c>
      <c r="AT100" s="83"/>
      <c r="AU100" s="83">
        <v>2</v>
      </c>
      <c r="AV100" s="88" t="str">
        <f>HYPERLINK("http://abs.twimg.com/images/themes/theme1/bg.png")</f>
        <v>http://abs.twimg.com/images/themes/theme1/bg.png</v>
      </c>
      <c r="AW100" s="83" t="b">
        <v>0</v>
      </c>
      <c r="AX100" s="83" t="s">
        <v>2807</v>
      </c>
      <c r="AY100" s="88" t="str">
        <f>HYPERLINK("https://twitter.com/navalin1")</f>
        <v>https://twitter.com/navalin1</v>
      </c>
      <c r="AZ100" s="83" t="s">
        <v>66</v>
      </c>
      <c r="BA100" s="2"/>
      <c r="BB100" s="3"/>
      <c r="BC100" s="3"/>
      <c r="BD100" s="3"/>
      <c r="BE100" s="3"/>
    </row>
    <row r="101" spans="1:57" x14ac:dyDescent="0.2">
      <c r="A101" s="69" t="s">
        <v>301</v>
      </c>
      <c r="B101" s="70"/>
      <c r="C101" s="70"/>
      <c r="D101" s="71"/>
      <c r="E101" s="73"/>
      <c r="F101" s="109" t="str">
        <f>HYPERLINK("http://pbs.twimg.com/profile_images/1187530107079950337/-3uAAgCe_normal.jpg")</f>
        <v>http://pbs.twimg.com/profile_images/1187530107079950337/-3uAAgCe_normal.jpg</v>
      </c>
      <c r="G101" s="70"/>
      <c r="H101" s="74"/>
      <c r="I101" s="75"/>
      <c r="J101" s="75"/>
      <c r="K101" s="74" t="s">
        <v>2905</v>
      </c>
      <c r="L101" s="78"/>
      <c r="M101" s="79"/>
      <c r="N101" s="79"/>
      <c r="O101" s="80"/>
      <c r="P101" s="81"/>
      <c r="Q101" s="81"/>
      <c r="R101" s="93"/>
      <c r="S101" s="93"/>
      <c r="T101" s="93"/>
      <c r="U101" s="93"/>
      <c r="V101" s="52"/>
      <c r="W101" s="52"/>
      <c r="X101" s="52"/>
      <c r="Y101" s="52"/>
      <c r="Z101" s="51"/>
      <c r="AA101" s="76"/>
      <c r="AB101" s="76"/>
      <c r="AC101" s="77"/>
      <c r="AD101" s="83" t="s">
        <v>1927</v>
      </c>
      <c r="AE101" s="91" t="s">
        <v>2193</v>
      </c>
      <c r="AF101" s="83">
        <v>906</v>
      </c>
      <c r="AG101" s="83">
        <v>342</v>
      </c>
      <c r="AH101" s="83">
        <v>6716</v>
      </c>
      <c r="AI101" s="83">
        <v>4193</v>
      </c>
      <c r="AJ101" s="83"/>
      <c r="AK101" s="83" t="s">
        <v>2457</v>
      </c>
      <c r="AL101" s="83"/>
      <c r="AM101" s="83"/>
      <c r="AN101" s="83"/>
      <c r="AO101" s="85">
        <v>41465.587442129632</v>
      </c>
      <c r="AP101" s="88" t="str">
        <f>HYPERLINK("https://pbs.twimg.com/profile_banners/1583173230/1584279682")</f>
        <v>https://pbs.twimg.com/profile_banners/1583173230/1584279682</v>
      </c>
      <c r="AQ101" s="83" t="b">
        <v>0</v>
      </c>
      <c r="AR101" s="83" t="b">
        <v>0</v>
      </c>
      <c r="AS101" s="83" t="b">
        <v>0</v>
      </c>
      <c r="AT101" s="83"/>
      <c r="AU101" s="83">
        <v>8</v>
      </c>
      <c r="AV101" s="88" t="str">
        <f>HYPERLINK("http://abs.twimg.com/images/themes/theme1/bg.png")</f>
        <v>http://abs.twimg.com/images/themes/theme1/bg.png</v>
      </c>
      <c r="AW101" s="83" t="b">
        <v>0</v>
      </c>
      <c r="AX101" s="83" t="s">
        <v>2807</v>
      </c>
      <c r="AY101" s="88" t="str">
        <f>HYPERLINK("https://twitter.com/rrby837")</f>
        <v>https://twitter.com/rrby837</v>
      </c>
      <c r="AZ101" s="83" t="s">
        <v>66</v>
      </c>
      <c r="BA101" s="2"/>
      <c r="BB101" s="3"/>
      <c r="BC101" s="3"/>
      <c r="BD101" s="3"/>
      <c r="BE101" s="3"/>
    </row>
    <row r="102" spans="1:57" x14ac:dyDescent="0.2">
      <c r="A102" s="69" t="s">
        <v>302</v>
      </c>
      <c r="B102" s="70"/>
      <c r="C102" s="70"/>
      <c r="D102" s="71"/>
      <c r="E102" s="73"/>
      <c r="F102" s="109" t="str">
        <f>HYPERLINK("http://pbs.twimg.com/profile_images/1159548194902171649/pI54KC-V_normal.jpg")</f>
        <v>http://pbs.twimg.com/profile_images/1159548194902171649/pI54KC-V_normal.jpg</v>
      </c>
      <c r="G102" s="70"/>
      <c r="H102" s="74"/>
      <c r="I102" s="75"/>
      <c r="J102" s="75"/>
      <c r="K102" s="74" t="s">
        <v>2906</v>
      </c>
      <c r="L102" s="78"/>
      <c r="M102" s="79"/>
      <c r="N102" s="79"/>
      <c r="O102" s="80"/>
      <c r="P102" s="81"/>
      <c r="Q102" s="81"/>
      <c r="R102" s="93"/>
      <c r="S102" s="93"/>
      <c r="T102" s="93"/>
      <c r="U102" s="93"/>
      <c r="V102" s="52"/>
      <c r="W102" s="52"/>
      <c r="X102" s="52"/>
      <c r="Y102" s="52"/>
      <c r="Z102" s="51"/>
      <c r="AA102" s="76"/>
      <c r="AB102" s="76"/>
      <c r="AC102" s="77"/>
      <c r="AD102" s="83" t="s">
        <v>1928</v>
      </c>
      <c r="AE102" s="91" t="s">
        <v>2194</v>
      </c>
      <c r="AF102" s="83">
        <v>578</v>
      </c>
      <c r="AG102" s="83">
        <v>1384</v>
      </c>
      <c r="AH102" s="83">
        <v>1031</v>
      </c>
      <c r="AI102" s="83">
        <v>1744</v>
      </c>
      <c r="AJ102" s="83"/>
      <c r="AK102" s="83" t="s">
        <v>2458</v>
      </c>
      <c r="AL102" s="83" t="s">
        <v>2700</v>
      </c>
      <c r="AM102" s="88" t="str">
        <f>HYPERLINK("https://t.co/IhB7ZgqZ2R")</f>
        <v>https://t.co/IhB7ZgqZ2R</v>
      </c>
      <c r="AN102" s="83"/>
      <c r="AO102" s="85">
        <v>41403.503240740742</v>
      </c>
      <c r="AP102" s="88" t="str">
        <f>HYPERLINK("https://pbs.twimg.com/profile_banners/1415390977/1571919045")</f>
        <v>https://pbs.twimg.com/profile_banners/1415390977/1571919045</v>
      </c>
      <c r="AQ102" s="83" t="b">
        <v>0</v>
      </c>
      <c r="AR102" s="83" t="b">
        <v>0</v>
      </c>
      <c r="AS102" s="83" t="b">
        <v>1</v>
      </c>
      <c r="AT102" s="83"/>
      <c r="AU102" s="83">
        <v>12</v>
      </c>
      <c r="AV102" s="88" t="str">
        <f>HYPERLINK("http://abs.twimg.com/images/themes/theme1/bg.png")</f>
        <v>http://abs.twimg.com/images/themes/theme1/bg.png</v>
      </c>
      <c r="AW102" s="83" t="b">
        <v>0</v>
      </c>
      <c r="AX102" s="83" t="s">
        <v>2807</v>
      </c>
      <c r="AY102" s="88" t="str">
        <f>HYPERLINK("https://twitter.com/bloceyewear")</f>
        <v>https://twitter.com/bloceyewear</v>
      </c>
      <c r="AZ102" s="83" t="s">
        <v>66</v>
      </c>
      <c r="BA102" s="2"/>
      <c r="BB102" s="3"/>
      <c r="BC102" s="3"/>
      <c r="BD102" s="3"/>
      <c r="BE102" s="3"/>
    </row>
    <row r="103" spans="1:57" x14ac:dyDescent="0.2">
      <c r="A103" s="69" t="s">
        <v>303</v>
      </c>
      <c r="B103" s="70"/>
      <c r="C103" s="70"/>
      <c r="D103" s="71"/>
      <c r="E103" s="73"/>
      <c r="F103" s="109" t="str">
        <f>HYPERLINK("http://pbs.twimg.com/profile_images/1217727030864662529/wbWAmj0Y_normal.jpg")</f>
        <v>http://pbs.twimg.com/profile_images/1217727030864662529/wbWAmj0Y_normal.jpg</v>
      </c>
      <c r="G103" s="70"/>
      <c r="H103" s="74"/>
      <c r="I103" s="75"/>
      <c r="J103" s="75"/>
      <c r="K103" s="74" t="s">
        <v>2907</v>
      </c>
      <c r="L103" s="78"/>
      <c r="M103" s="79"/>
      <c r="N103" s="79"/>
      <c r="O103" s="80"/>
      <c r="P103" s="81"/>
      <c r="Q103" s="81"/>
      <c r="R103" s="93"/>
      <c r="S103" s="93"/>
      <c r="T103" s="93"/>
      <c r="U103" s="93"/>
      <c r="V103" s="52"/>
      <c r="W103" s="52"/>
      <c r="X103" s="52"/>
      <c r="Y103" s="52"/>
      <c r="Z103" s="51"/>
      <c r="AA103" s="76"/>
      <c r="AB103" s="76"/>
      <c r="AC103" s="77"/>
      <c r="AD103" s="83" t="s">
        <v>1929</v>
      </c>
      <c r="AE103" s="91" t="s">
        <v>2195</v>
      </c>
      <c r="AF103" s="83">
        <v>85</v>
      </c>
      <c r="AG103" s="83">
        <v>103</v>
      </c>
      <c r="AH103" s="83">
        <v>6575</v>
      </c>
      <c r="AI103" s="83">
        <v>7871</v>
      </c>
      <c r="AJ103" s="83"/>
      <c r="AK103" s="83" t="s">
        <v>2459</v>
      </c>
      <c r="AL103" s="83" t="s">
        <v>2701</v>
      </c>
      <c r="AM103" s="83"/>
      <c r="AN103" s="83"/>
      <c r="AO103" s="85">
        <v>43187.488356481481</v>
      </c>
      <c r="AP103" s="88" t="str">
        <f>HYPERLINK("https://pbs.twimg.com/profile_banners/978960704286814208/1522238286")</f>
        <v>https://pbs.twimg.com/profile_banners/978960704286814208/1522238286</v>
      </c>
      <c r="AQ103" s="83" t="b">
        <v>1</v>
      </c>
      <c r="AR103" s="83" t="b">
        <v>0</v>
      </c>
      <c r="AS103" s="83" t="b">
        <v>1</v>
      </c>
      <c r="AT103" s="83"/>
      <c r="AU103" s="83">
        <v>2</v>
      </c>
      <c r="AV103" s="83"/>
      <c r="AW103" s="83" t="b">
        <v>0</v>
      </c>
      <c r="AX103" s="83" t="s">
        <v>2807</v>
      </c>
      <c r="AY103" s="88" t="str">
        <f>HYPERLINK("https://twitter.com/shoupokeaka")</f>
        <v>https://twitter.com/shoupokeaka</v>
      </c>
      <c r="AZ103" s="83" t="s">
        <v>66</v>
      </c>
      <c r="BA103" s="2"/>
      <c r="BB103" s="3"/>
      <c r="BC103" s="3"/>
      <c r="BD103" s="3"/>
      <c r="BE103" s="3"/>
    </row>
    <row r="104" spans="1:57" x14ac:dyDescent="0.2">
      <c r="A104" s="69" t="s">
        <v>304</v>
      </c>
      <c r="B104" s="70"/>
      <c r="C104" s="70"/>
      <c r="D104" s="71"/>
      <c r="E104" s="73"/>
      <c r="F104" s="109" t="str">
        <f>HYPERLINK("http://pbs.twimg.com/profile_images/1231475845404872704/jaSuplIQ_normal.jpg")</f>
        <v>http://pbs.twimg.com/profile_images/1231475845404872704/jaSuplIQ_normal.jpg</v>
      </c>
      <c r="G104" s="70"/>
      <c r="H104" s="74"/>
      <c r="I104" s="75"/>
      <c r="J104" s="75"/>
      <c r="K104" s="74" t="s">
        <v>2908</v>
      </c>
      <c r="L104" s="78"/>
      <c r="M104" s="79"/>
      <c r="N104" s="79"/>
      <c r="O104" s="80"/>
      <c r="P104" s="81"/>
      <c r="Q104" s="81"/>
      <c r="R104" s="93"/>
      <c r="S104" s="93"/>
      <c r="T104" s="93"/>
      <c r="U104" s="93"/>
      <c r="V104" s="52"/>
      <c r="W104" s="52"/>
      <c r="X104" s="52"/>
      <c r="Y104" s="52"/>
      <c r="Z104" s="51"/>
      <c r="AA104" s="76"/>
      <c r="AB104" s="76"/>
      <c r="AC104" s="77"/>
      <c r="AD104" s="83" t="s">
        <v>1930</v>
      </c>
      <c r="AE104" s="91" t="s">
        <v>2196</v>
      </c>
      <c r="AF104" s="83">
        <v>1</v>
      </c>
      <c r="AG104" s="83">
        <v>2586</v>
      </c>
      <c r="AH104" s="83">
        <v>100710</v>
      </c>
      <c r="AI104" s="83">
        <v>8</v>
      </c>
      <c r="AJ104" s="83"/>
      <c r="AK104" s="83" t="s">
        <v>2460</v>
      </c>
      <c r="AL104" s="83" t="s">
        <v>2702</v>
      </c>
      <c r="AM104" s="83"/>
      <c r="AN104" s="83"/>
      <c r="AO104" s="85">
        <v>43883.280312499999</v>
      </c>
      <c r="AP104" s="88" t="str">
        <f>HYPERLINK("https://pbs.twimg.com/profile_banners/1231107173784129536/1582441698")</f>
        <v>https://pbs.twimg.com/profile_banners/1231107173784129536/1582441698</v>
      </c>
      <c r="AQ104" s="83" t="b">
        <v>1</v>
      </c>
      <c r="AR104" s="83" t="b">
        <v>0</v>
      </c>
      <c r="AS104" s="83" t="b">
        <v>0</v>
      </c>
      <c r="AT104" s="83"/>
      <c r="AU104" s="83">
        <v>46</v>
      </c>
      <c r="AV104" s="83"/>
      <c r="AW104" s="83" t="b">
        <v>0</v>
      </c>
      <c r="AX104" s="83" t="s">
        <v>2807</v>
      </c>
      <c r="AY104" s="88" t="str">
        <f>HYPERLINK("https://twitter.com/reartistron")</f>
        <v>https://twitter.com/reartistron</v>
      </c>
      <c r="AZ104" s="83" t="s">
        <v>66</v>
      </c>
      <c r="BA104" s="2"/>
      <c r="BB104" s="3"/>
      <c r="BC104" s="3"/>
      <c r="BD104" s="3"/>
      <c r="BE104" s="3"/>
    </row>
    <row r="105" spans="1:57" x14ac:dyDescent="0.2">
      <c r="A105" s="69" t="s">
        <v>400</v>
      </c>
      <c r="B105" s="70"/>
      <c r="C105" s="70"/>
      <c r="D105" s="71"/>
      <c r="E105" s="73"/>
      <c r="F105" s="109" t="str">
        <f>HYPERLINK("http://pbs.twimg.com/profile_images/1142556013167632391/vMubfzN-_normal.jpg")</f>
        <v>http://pbs.twimg.com/profile_images/1142556013167632391/vMubfzN-_normal.jpg</v>
      </c>
      <c r="G105" s="70"/>
      <c r="H105" s="74"/>
      <c r="I105" s="75"/>
      <c r="J105" s="75"/>
      <c r="K105" s="74" t="s">
        <v>2909</v>
      </c>
      <c r="L105" s="78"/>
      <c r="M105" s="79"/>
      <c r="N105" s="79"/>
      <c r="O105" s="80"/>
      <c r="P105" s="81"/>
      <c r="Q105" s="81"/>
      <c r="R105" s="93"/>
      <c r="S105" s="93"/>
      <c r="T105" s="93"/>
      <c r="U105" s="93"/>
      <c r="V105" s="52"/>
      <c r="W105" s="52"/>
      <c r="X105" s="52"/>
      <c r="Y105" s="52"/>
      <c r="Z105" s="51"/>
      <c r="AA105" s="76"/>
      <c r="AB105" s="76"/>
      <c r="AC105" s="77"/>
      <c r="AD105" s="83" t="s">
        <v>1931</v>
      </c>
      <c r="AE105" s="91" t="s">
        <v>2197</v>
      </c>
      <c r="AF105" s="83">
        <v>1512</v>
      </c>
      <c r="AG105" s="83">
        <v>328</v>
      </c>
      <c r="AH105" s="83">
        <v>6149</v>
      </c>
      <c r="AI105" s="83">
        <v>1492</v>
      </c>
      <c r="AJ105" s="83"/>
      <c r="AK105" s="83" t="s">
        <v>2461</v>
      </c>
      <c r="AL105" s="83" t="s">
        <v>2703</v>
      </c>
      <c r="AM105" s="88" t="str">
        <f>HYPERLINK("https://t.co/LypQHM9Gky")</f>
        <v>https://t.co/LypQHM9Gky</v>
      </c>
      <c r="AN105" s="83"/>
      <c r="AO105" s="85">
        <v>41802.693020833336</v>
      </c>
      <c r="AP105" s="88" t="str">
        <f>HYPERLINK("https://pbs.twimg.com/profile_banners/2563726591/1561241666")</f>
        <v>https://pbs.twimg.com/profile_banners/2563726591/1561241666</v>
      </c>
      <c r="AQ105" s="83" t="b">
        <v>0</v>
      </c>
      <c r="AR105" s="83" t="b">
        <v>0</v>
      </c>
      <c r="AS105" s="83" t="b">
        <v>1</v>
      </c>
      <c r="AT105" s="83"/>
      <c r="AU105" s="83">
        <v>24</v>
      </c>
      <c r="AV105" s="88" t="str">
        <f>HYPERLINK("http://abs.twimg.com/images/themes/theme1/bg.png")</f>
        <v>http://abs.twimg.com/images/themes/theme1/bg.png</v>
      </c>
      <c r="AW105" s="83" t="b">
        <v>0</v>
      </c>
      <c r="AX105" s="83" t="s">
        <v>2807</v>
      </c>
      <c r="AY105" s="88" t="str">
        <f>HYPERLINK("https://twitter.com/hc_mmoor1868")</f>
        <v>https://twitter.com/hc_mmoor1868</v>
      </c>
      <c r="AZ105" s="83" t="s">
        <v>66</v>
      </c>
      <c r="BA105" s="2"/>
      <c r="BB105" s="3"/>
      <c r="BC105" s="3"/>
      <c r="BD105" s="3"/>
      <c r="BE105" s="3"/>
    </row>
    <row r="106" spans="1:57" x14ac:dyDescent="0.2">
      <c r="A106" s="69" t="s">
        <v>305</v>
      </c>
      <c r="B106" s="70"/>
      <c r="C106" s="70"/>
      <c r="D106" s="71"/>
      <c r="E106" s="73"/>
      <c r="F106" s="109" t="str">
        <f>HYPERLINK("http://pbs.twimg.com/profile_images/1142440662735835136/z2-puzsR_normal.jpg")</f>
        <v>http://pbs.twimg.com/profile_images/1142440662735835136/z2-puzsR_normal.jpg</v>
      </c>
      <c r="G106" s="70"/>
      <c r="H106" s="74"/>
      <c r="I106" s="75"/>
      <c r="J106" s="75"/>
      <c r="K106" s="74" t="s">
        <v>2910</v>
      </c>
      <c r="L106" s="78"/>
      <c r="M106" s="79"/>
      <c r="N106" s="79"/>
      <c r="O106" s="80"/>
      <c r="P106" s="81"/>
      <c r="Q106" s="81"/>
      <c r="R106" s="93"/>
      <c r="S106" s="93"/>
      <c r="T106" s="93"/>
      <c r="U106" s="93"/>
      <c r="V106" s="52"/>
      <c r="W106" s="52"/>
      <c r="X106" s="52"/>
      <c r="Y106" s="52"/>
      <c r="Z106" s="51"/>
      <c r="AA106" s="76"/>
      <c r="AB106" s="76"/>
      <c r="AC106" s="77"/>
      <c r="AD106" s="83" t="s">
        <v>1932</v>
      </c>
      <c r="AE106" s="91" t="s">
        <v>2198</v>
      </c>
      <c r="AF106" s="83">
        <v>816</v>
      </c>
      <c r="AG106" s="83">
        <v>4060</v>
      </c>
      <c r="AH106" s="83">
        <v>29548</v>
      </c>
      <c r="AI106" s="83">
        <v>46260</v>
      </c>
      <c r="AJ106" s="83"/>
      <c r="AK106" s="83" t="s">
        <v>2462</v>
      </c>
      <c r="AL106" s="83" t="s">
        <v>2704</v>
      </c>
      <c r="AM106" s="88" t="str">
        <f>HYPERLINK("https://t.co/N0IFNT3yB5")</f>
        <v>https://t.co/N0IFNT3yB5</v>
      </c>
      <c r="AN106" s="83"/>
      <c r="AO106" s="85">
        <v>42610.530324074076</v>
      </c>
      <c r="AP106" s="88" t="str">
        <f>HYPERLINK("https://pbs.twimg.com/profile_banners/769878110355402752/1559810502")</f>
        <v>https://pbs.twimg.com/profile_banners/769878110355402752/1559810502</v>
      </c>
      <c r="AQ106" s="83" t="b">
        <v>1</v>
      </c>
      <c r="AR106" s="83" t="b">
        <v>0</v>
      </c>
      <c r="AS106" s="83" t="b">
        <v>1</v>
      </c>
      <c r="AT106" s="83"/>
      <c r="AU106" s="83">
        <v>30</v>
      </c>
      <c r="AV106" s="83"/>
      <c r="AW106" s="83" t="b">
        <v>0</v>
      </c>
      <c r="AX106" s="83" t="s">
        <v>2807</v>
      </c>
      <c r="AY106" s="88" t="str">
        <f>HYPERLINK("https://twitter.com/otamaimai")</f>
        <v>https://twitter.com/otamaimai</v>
      </c>
      <c r="AZ106" s="83" t="s">
        <v>66</v>
      </c>
      <c r="BA106" s="2"/>
      <c r="BB106" s="3"/>
      <c r="BC106" s="3"/>
      <c r="BD106" s="3"/>
      <c r="BE106" s="3"/>
    </row>
    <row r="107" spans="1:57" x14ac:dyDescent="0.2">
      <c r="A107" s="69" t="s">
        <v>306</v>
      </c>
      <c r="B107" s="70"/>
      <c r="C107" s="70"/>
      <c r="D107" s="71"/>
      <c r="E107" s="73"/>
      <c r="F107" s="109" t="str">
        <f>HYPERLINK("http://pbs.twimg.com/profile_images/1109118973/100823_2114_01_normal.jpg")</f>
        <v>http://pbs.twimg.com/profile_images/1109118973/100823_2114_01_normal.jpg</v>
      </c>
      <c r="G107" s="70"/>
      <c r="H107" s="74"/>
      <c r="I107" s="75"/>
      <c r="J107" s="75"/>
      <c r="K107" s="74" t="s">
        <v>2911</v>
      </c>
      <c r="L107" s="78"/>
      <c r="M107" s="79"/>
      <c r="N107" s="79"/>
      <c r="O107" s="80"/>
      <c r="P107" s="81"/>
      <c r="Q107" s="81"/>
      <c r="R107" s="93"/>
      <c r="S107" s="93"/>
      <c r="T107" s="93"/>
      <c r="U107" s="93"/>
      <c r="V107" s="52"/>
      <c r="W107" s="52"/>
      <c r="X107" s="52"/>
      <c r="Y107" s="52"/>
      <c r="Z107" s="51"/>
      <c r="AA107" s="76"/>
      <c r="AB107" s="76"/>
      <c r="AC107" s="77"/>
      <c r="AD107" s="83" t="s">
        <v>1933</v>
      </c>
      <c r="AE107" s="91" t="s">
        <v>2199</v>
      </c>
      <c r="AF107" s="83">
        <v>349</v>
      </c>
      <c r="AG107" s="83">
        <v>477</v>
      </c>
      <c r="AH107" s="83">
        <v>24093</v>
      </c>
      <c r="AI107" s="83">
        <v>84135</v>
      </c>
      <c r="AJ107" s="83"/>
      <c r="AK107" s="83" t="s">
        <v>2463</v>
      </c>
      <c r="AL107" s="83" t="s">
        <v>2705</v>
      </c>
      <c r="AM107" s="88" t="str">
        <f>HYPERLINK("https://t.co/bTLI2dZood")</f>
        <v>https://t.co/bTLI2dZood</v>
      </c>
      <c r="AN107" s="83"/>
      <c r="AO107" s="85">
        <v>40412.609270833331</v>
      </c>
      <c r="AP107" s="88" t="str">
        <f>HYPERLINK("https://pbs.twimg.com/profile_banners/181567520/1396959370")</f>
        <v>https://pbs.twimg.com/profile_banners/181567520/1396959370</v>
      </c>
      <c r="AQ107" s="83" t="b">
        <v>0</v>
      </c>
      <c r="AR107" s="83" t="b">
        <v>0</v>
      </c>
      <c r="AS107" s="83" t="b">
        <v>0</v>
      </c>
      <c r="AT107" s="83"/>
      <c r="AU107" s="83">
        <v>0</v>
      </c>
      <c r="AV107" s="88" t="str">
        <f>HYPERLINK("http://abs.twimg.com/images/themes/theme16/bg.gif")</f>
        <v>http://abs.twimg.com/images/themes/theme16/bg.gif</v>
      </c>
      <c r="AW107" s="83" t="b">
        <v>0</v>
      </c>
      <c r="AX107" s="83" t="s">
        <v>2807</v>
      </c>
      <c r="AY107" s="88" t="str">
        <f>HYPERLINK("https://twitter.com/tunopokekru")</f>
        <v>https://twitter.com/tunopokekru</v>
      </c>
      <c r="AZ107" s="83" t="s">
        <v>66</v>
      </c>
      <c r="BA107" s="2"/>
      <c r="BB107" s="3"/>
      <c r="BC107" s="3"/>
      <c r="BD107" s="3"/>
      <c r="BE107" s="3"/>
    </row>
    <row r="108" spans="1:57" x14ac:dyDescent="0.2">
      <c r="A108" s="69" t="s">
        <v>307</v>
      </c>
      <c r="B108" s="70"/>
      <c r="C108" s="70"/>
      <c r="D108" s="71"/>
      <c r="E108" s="73"/>
      <c r="F108" s="109" t="str">
        <f>HYPERLINK("http://pbs.twimg.com/profile_images/1123505980690452480/MuRhl1K2_normal.jpg")</f>
        <v>http://pbs.twimg.com/profile_images/1123505980690452480/MuRhl1K2_normal.jpg</v>
      </c>
      <c r="G108" s="70"/>
      <c r="H108" s="74"/>
      <c r="I108" s="75"/>
      <c r="J108" s="75"/>
      <c r="K108" s="74" t="s">
        <v>2912</v>
      </c>
      <c r="L108" s="78"/>
      <c r="M108" s="79"/>
      <c r="N108" s="79"/>
      <c r="O108" s="80"/>
      <c r="P108" s="81"/>
      <c r="Q108" s="81"/>
      <c r="R108" s="93"/>
      <c r="S108" s="93"/>
      <c r="T108" s="93"/>
      <c r="U108" s="93"/>
      <c r="V108" s="52"/>
      <c r="W108" s="52"/>
      <c r="X108" s="52"/>
      <c r="Y108" s="52"/>
      <c r="Z108" s="51"/>
      <c r="AA108" s="76"/>
      <c r="AB108" s="76"/>
      <c r="AC108" s="77"/>
      <c r="AD108" s="83" t="s">
        <v>1934</v>
      </c>
      <c r="AE108" s="91" t="s">
        <v>2200</v>
      </c>
      <c r="AF108" s="83">
        <v>141</v>
      </c>
      <c r="AG108" s="83">
        <v>141</v>
      </c>
      <c r="AH108" s="83">
        <v>2078</v>
      </c>
      <c r="AI108" s="83">
        <v>7250</v>
      </c>
      <c r="AJ108" s="83"/>
      <c r="AK108" s="83" t="s">
        <v>2464</v>
      </c>
      <c r="AL108" s="83" t="s">
        <v>2706</v>
      </c>
      <c r="AM108" s="83"/>
      <c r="AN108" s="83"/>
      <c r="AO108" s="85">
        <v>43586.35659722222</v>
      </c>
      <c r="AP108" s="88" t="str">
        <f>HYPERLINK("https://pbs.twimg.com/profile_banners/1123505711789400066/1565957902")</f>
        <v>https://pbs.twimg.com/profile_banners/1123505711789400066/1565957902</v>
      </c>
      <c r="AQ108" s="83" t="b">
        <v>1</v>
      </c>
      <c r="AR108" s="83" t="b">
        <v>0</v>
      </c>
      <c r="AS108" s="83" t="b">
        <v>0</v>
      </c>
      <c r="AT108" s="83"/>
      <c r="AU108" s="83">
        <v>1</v>
      </c>
      <c r="AV108" s="83"/>
      <c r="AW108" s="83" t="b">
        <v>0</v>
      </c>
      <c r="AX108" s="83" t="s">
        <v>2807</v>
      </c>
      <c r="AY108" s="88" t="str">
        <f>HYPERLINK("https://twitter.com/keys_tad")</f>
        <v>https://twitter.com/keys_tad</v>
      </c>
      <c r="AZ108" s="83" t="s">
        <v>66</v>
      </c>
      <c r="BA108" s="2"/>
      <c r="BB108" s="3"/>
      <c r="BC108" s="3"/>
      <c r="BD108" s="3"/>
      <c r="BE108" s="3"/>
    </row>
    <row r="109" spans="1:57" x14ac:dyDescent="0.2">
      <c r="A109" s="69" t="s">
        <v>308</v>
      </c>
      <c r="B109" s="70"/>
      <c r="C109" s="70"/>
      <c r="D109" s="71"/>
      <c r="E109" s="73"/>
      <c r="F109" s="109" t="str">
        <f>HYPERLINK("http://pbs.twimg.com/profile_images/1018563817754816512/OzIeWyQw_normal.jpg")</f>
        <v>http://pbs.twimg.com/profile_images/1018563817754816512/OzIeWyQw_normal.jpg</v>
      </c>
      <c r="G109" s="70"/>
      <c r="H109" s="74"/>
      <c r="I109" s="75"/>
      <c r="J109" s="75"/>
      <c r="K109" s="74" t="s">
        <v>2913</v>
      </c>
      <c r="L109" s="78"/>
      <c r="M109" s="79"/>
      <c r="N109" s="79"/>
      <c r="O109" s="80"/>
      <c r="P109" s="81"/>
      <c r="Q109" s="81"/>
      <c r="R109" s="93"/>
      <c r="S109" s="93"/>
      <c r="T109" s="93"/>
      <c r="U109" s="93"/>
      <c r="V109" s="52"/>
      <c r="W109" s="52"/>
      <c r="X109" s="52"/>
      <c r="Y109" s="52"/>
      <c r="Z109" s="51"/>
      <c r="AA109" s="76"/>
      <c r="AB109" s="76"/>
      <c r="AC109" s="77"/>
      <c r="AD109" s="83" t="s">
        <v>1935</v>
      </c>
      <c r="AE109" s="91" t="s">
        <v>2201</v>
      </c>
      <c r="AF109" s="83">
        <v>101</v>
      </c>
      <c r="AG109" s="83">
        <v>194</v>
      </c>
      <c r="AH109" s="83">
        <v>7190</v>
      </c>
      <c r="AI109" s="83">
        <v>8227</v>
      </c>
      <c r="AJ109" s="83"/>
      <c r="AK109" s="83" t="s">
        <v>2465</v>
      </c>
      <c r="AL109" s="83" t="s">
        <v>2707</v>
      </c>
      <c r="AM109" s="83"/>
      <c r="AN109" s="83"/>
      <c r="AO109" s="85">
        <v>41019.201469907406</v>
      </c>
      <c r="AP109" s="88" t="str">
        <f>HYPERLINK("https://pbs.twimg.com/profile_banners/558330148/1509995209")</f>
        <v>https://pbs.twimg.com/profile_banners/558330148/1509995209</v>
      </c>
      <c r="AQ109" s="83" t="b">
        <v>0</v>
      </c>
      <c r="AR109" s="83" t="b">
        <v>0</v>
      </c>
      <c r="AS109" s="83" t="b">
        <v>1</v>
      </c>
      <c r="AT109" s="83"/>
      <c r="AU109" s="83">
        <v>30</v>
      </c>
      <c r="AV109" s="88" t="str">
        <f>HYPERLINK("http://abs.twimg.com/images/themes/theme4/bg.gif")</f>
        <v>http://abs.twimg.com/images/themes/theme4/bg.gif</v>
      </c>
      <c r="AW109" s="83" t="b">
        <v>0</v>
      </c>
      <c r="AX109" s="83" t="s">
        <v>2807</v>
      </c>
      <c r="AY109" s="88" t="str">
        <f>HYPERLINK("https://twitter.com/pipoca_nr")</f>
        <v>https://twitter.com/pipoca_nr</v>
      </c>
      <c r="AZ109" s="83" t="s">
        <v>66</v>
      </c>
      <c r="BA109" s="2"/>
      <c r="BB109" s="3"/>
      <c r="BC109" s="3"/>
      <c r="BD109" s="3"/>
      <c r="BE109" s="3"/>
    </row>
    <row r="110" spans="1:57" x14ac:dyDescent="0.2">
      <c r="A110" s="69" t="s">
        <v>309</v>
      </c>
      <c r="B110" s="70"/>
      <c r="C110" s="70"/>
      <c r="D110" s="71"/>
      <c r="E110" s="73"/>
      <c r="F110" s="109" t="str">
        <f>HYPERLINK("http://pbs.twimg.com/profile_images/1100469390200528896/rbo-Tr_M_normal.jpg")</f>
        <v>http://pbs.twimg.com/profile_images/1100469390200528896/rbo-Tr_M_normal.jpg</v>
      </c>
      <c r="G110" s="70"/>
      <c r="H110" s="74"/>
      <c r="I110" s="75"/>
      <c r="J110" s="75"/>
      <c r="K110" s="74" t="s">
        <v>2914</v>
      </c>
      <c r="L110" s="78"/>
      <c r="M110" s="79"/>
      <c r="N110" s="79"/>
      <c r="O110" s="80"/>
      <c r="P110" s="81"/>
      <c r="Q110" s="81"/>
      <c r="R110" s="93"/>
      <c r="S110" s="93"/>
      <c r="T110" s="93"/>
      <c r="U110" s="93"/>
      <c r="V110" s="52"/>
      <c r="W110" s="52"/>
      <c r="X110" s="52"/>
      <c r="Y110" s="52"/>
      <c r="Z110" s="51"/>
      <c r="AA110" s="76"/>
      <c r="AB110" s="76"/>
      <c r="AC110" s="77"/>
      <c r="AD110" s="83" t="s">
        <v>1936</v>
      </c>
      <c r="AE110" s="91" t="s">
        <v>2202</v>
      </c>
      <c r="AF110" s="83">
        <v>91</v>
      </c>
      <c r="AG110" s="83">
        <v>63</v>
      </c>
      <c r="AH110" s="83">
        <v>33169</v>
      </c>
      <c r="AI110" s="83">
        <v>13218</v>
      </c>
      <c r="AJ110" s="83"/>
      <c r="AK110" s="83" t="s">
        <v>2466</v>
      </c>
      <c r="AL110" s="83"/>
      <c r="AM110" s="83"/>
      <c r="AN110" s="83"/>
      <c r="AO110" s="85">
        <v>41838.239675925928</v>
      </c>
      <c r="AP110" s="88" t="str">
        <f>HYPERLINK("https://pbs.twimg.com/profile_banners/2716409536/1567163931")</f>
        <v>https://pbs.twimg.com/profile_banners/2716409536/1567163931</v>
      </c>
      <c r="AQ110" s="83" t="b">
        <v>1</v>
      </c>
      <c r="AR110" s="83" t="b">
        <v>0</v>
      </c>
      <c r="AS110" s="83" t="b">
        <v>1</v>
      </c>
      <c r="AT110" s="83"/>
      <c r="AU110" s="83">
        <v>44</v>
      </c>
      <c r="AV110" s="88" t="str">
        <f>HYPERLINK("http://abs.twimg.com/images/themes/theme1/bg.png")</f>
        <v>http://abs.twimg.com/images/themes/theme1/bg.png</v>
      </c>
      <c r="AW110" s="83" t="b">
        <v>0</v>
      </c>
      <c r="AX110" s="83" t="s">
        <v>2807</v>
      </c>
      <c r="AY110" s="88" t="str">
        <f>HYPERLINK("https://twitter.com/lobeznox5")</f>
        <v>https://twitter.com/lobeznox5</v>
      </c>
      <c r="AZ110" s="83" t="s">
        <v>66</v>
      </c>
      <c r="BA110" s="2"/>
      <c r="BB110" s="3"/>
      <c r="BC110" s="3"/>
      <c r="BD110" s="3"/>
      <c r="BE110" s="3"/>
    </row>
    <row r="111" spans="1:57" x14ac:dyDescent="0.2">
      <c r="A111" s="69" t="s">
        <v>310</v>
      </c>
      <c r="B111" s="70"/>
      <c r="C111" s="70"/>
      <c r="D111" s="71"/>
      <c r="E111" s="73"/>
      <c r="F111" s="109" t="str">
        <f>HYPERLINK("http://pbs.twimg.com/profile_images/1101502554653904896/EF5OM0tQ_normal.jpg")</f>
        <v>http://pbs.twimg.com/profile_images/1101502554653904896/EF5OM0tQ_normal.jpg</v>
      </c>
      <c r="G111" s="70"/>
      <c r="H111" s="74"/>
      <c r="I111" s="75"/>
      <c r="J111" s="75"/>
      <c r="K111" s="74" t="s">
        <v>2915</v>
      </c>
      <c r="L111" s="78"/>
      <c r="M111" s="79"/>
      <c r="N111" s="79"/>
      <c r="O111" s="80"/>
      <c r="P111" s="81"/>
      <c r="Q111" s="81"/>
      <c r="R111" s="93"/>
      <c r="S111" s="93"/>
      <c r="T111" s="93"/>
      <c r="U111" s="93"/>
      <c r="V111" s="52"/>
      <c r="W111" s="52"/>
      <c r="X111" s="52"/>
      <c r="Y111" s="52"/>
      <c r="Z111" s="51"/>
      <c r="AA111" s="76"/>
      <c r="AB111" s="76"/>
      <c r="AC111" s="77"/>
      <c r="AD111" s="83" t="s">
        <v>1937</v>
      </c>
      <c r="AE111" s="91" t="s">
        <v>2203</v>
      </c>
      <c r="AF111" s="83">
        <v>226</v>
      </c>
      <c r="AG111" s="83">
        <v>92</v>
      </c>
      <c r="AH111" s="83">
        <v>343</v>
      </c>
      <c r="AI111" s="83">
        <v>8171</v>
      </c>
      <c r="AJ111" s="83"/>
      <c r="AK111" s="83" t="s">
        <v>2467</v>
      </c>
      <c r="AL111" s="83"/>
      <c r="AM111" s="83"/>
      <c r="AN111" s="83"/>
      <c r="AO111" s="85">
        <v>43262.011608796296</v>
      </c>
      <c r="AP111" s="83"/>
      <c r="AQ111" s="83" t="b">
        <v>1</v>
      </c>
      <c r="AR111" s="83" t="b">
        <v>0</v>
      </c>
      <c r="AS111" s="83" t="b">
        <v>0</v>
      </c>
      <c r="AT111" s="83"/>
      <c r="AU111" s="83">
        <v>0</v>
      </c>
      <c r="AV111" s="83"/>
      <c r="AW111" s="83" t="b">
        <v>0</v>
      </c>
      <c r="AX111" s="83" t="s">
        <v>2807</v>
      </c>
      <c r="AY111" s="88" t="str">
        <f>HYPERLINK("https://twitter.com/almondx43")</f>
        <v>https://twitter.com/almondx43</v>
      </c>
      <c r="AZ111" s="83" t="s">
        <v>66</v>
      </c>
      <c r="BA111" s="2"/>
      <c r="BB111" s="3"/>
      <c r="BC111" s="3"/>
      <c r="BD111" s="3"/>
      <c r="BE111" s="3"/>
    </row>
    <row r="112" spans="1:57" x14ac:dyDescent="0.2">
      <c r="A112" s="69" t="s">
        <v>363</v>
      </c>
      <c r="B112" s="70"/>
      <c r="C112" s="70"/>
      <c r="D112" s="71"/>
      <c r="E112" s="73"/>
      <c r="F112" s="109" t="str">
        <f>HYPERLINK("http://pbs.twimg.com/profile_images/1271443252441300997/peiT2HxR_normal.jpg")</f>
        <v>http://pbs.twimg.com/profile_images/1271443252441300997/peiT2HxR_normal.jpg</v>
      </c>
      <c r="G112" s="70"/>
      <c r="H112" s="74"/>
      <c r="I112" s="75"/>
      <c r="J112" s="75"/>
      <c r="K112" s="74" t="s">
        <v>2916</v>
      </c>
      <c r="L112" s="78"/>
      <c r="M112" s="79"/>
      <c r="N112" s="79"/>
      <c r="O112" s="80"/>
      <c r="P112" s="81"/>
      <c r="Q112" s="81"/>
      <c r="R112" s="93"/>
      <c r="S112" s="93"/>
      <c r="T112" s="93"/>
      <c r="U112" s="93"/>
      <c r="V112" s="52"/>
      <c r="W112" s="52"/>
      <c r="X112" s="52"/>
      <c r="Y112" s="52"/>
      <c r="Z112" s="51"/>
      <c r="AA112" s="76"/>
      <c r="AB112" s="76"/>
      <c r="AC112" s="77"/>
      <c r="AD112" s="83" t="s">
        <v>1938</v>
      </c>
      <c r="AE112" s="91" t="s">
        <v>2204</v>
      </c>
      <c r="AF112" s="83">
        <v>192</v>
      </c>
      <c r="AG112" s="83">
        <v>487</v>
      </c>
      <c r="AH112" s="83">
        <v>10888</v>
      </c>
      <c r="AI112" s="83">
        <v>60902</v>
      </c>
      <c r="AJ112" s="83"/>
      <c r="AK112" s="83" t="s">
        <v>2468</v>
      </c>
      <c r="AL112" s="83" t="s">
        <v>2708</v>
      </c>
      <c r="AM112" s="83"/>
      <c r="AN112" s="83"/>
      <c r="AO112" s="85">
        <v>42922.558738425927</v>
      </c>
      <c r="AP112" s="88" t="str">
        <f>HYPERLINK("https://pbs.twimg.com/profile_banners/882953422651105280/1589138467")</f>
        <v>https://pbs.twimg.com/profile_banners/882953422651105280/1589138467</v>
      </c>
      <c r="AQ112" s="83" t="b">
        <v>1</v>
      </c>
      <c r="AR112" s="83" t="b">
        <v>0</v>
      </c>
      <c r="AS112" s="83" t="b">
        <v>1</v>
      </c>
      <c r="AT112" s="83"/>
      <c r="AU112" s="83">
        <v>5</v>
      </c>
      <c r="AV112" s="83"/>
      <c r="AW112" s="83" t="b">
        <v>0</v>
      </c>
      <c r="AX112" s="83" t="s">
        <v>2807</v>
      </c>
      <c r="AY112" s="88" t="str">
        <f>HYPERLINK("https://twitter.com/mino_0916")</f>
        <v>https://twitter.com/mino_0916</v>
      </c>
      <c r="AZ112" s="83" t="s">
        <v>66</v>
      </c>
      <c r="BA112" s="2"/>
      <c r="BB112" s="3"/>
      <c r="BC112" s="3"/>
      <c r="BD112" s="3"/>
      <c r="BE112" s="3"/>
    </row>
    <row r="113" spans="1:57" x14ac:dyDescent="0.2">
      <c r="A113" s="69" t="s">
        <v>319</v>
      </c>
      <c r="B113" s="70"/>
      <c r="C113" s="70"/>
      <c r="D113" s="71"/>
      <c r="E113" s="73"/>
      <c r="F113" s="109" t="str">
        <f>HYPERLINK("http://pbs.twimg.com/profile_images/1234029170780299264/4wlxNbMl_normal.jpg")</f>
        <v>http://pbs.twimg.com/profile_images/1234029170780299264/4wlxNbMl_normal.jpg</v>
      </c>
      <c r="G113" s="70"/>
      <c r="H113" s="74"/>
      <c r="I113" s="75"/>
      <c r="J113" s="75"/>
      <c r="K113" s="74" t="s">
        <v>2917</v>
      </c>
      <c r="L113" s="78"/>
      <c r="M113" s="79"/>
      <c r="N113" s="79"/>
      <c r="O113" s="80"/>
      <c r="P113" s="81"/>
      <c r="Q113" s="81"/>
      <c r="R113" s="93"/>
      <c r="S113" s="93"/>
      <c r="T113" s="93"/>
      <c r="U113" s="93"/>
      <c r="V113" s="52"/>
      <c r="W113" s="52"/>
      <c r="X113" s="52"/>
      <c r="Y113" s="52"/>
      <c r="Z113" s="51"/>
      <c r="AA113" s="76"/>
      <c r="AB113" s="76"/>
      <c r="AC113" s="77"/>
      <c r="AD113" s="83" t="s">
        <v>1939</v>
      </c>
      <c r="AE113" s="91" t="s">
        <v>2205</v>
      </c>
      <c r="AF113" s="83">
        <v>28</v>
      </c>
      <c r="AG113" s="83">
        <v>29</v>
      </c>
      <c r="AH113" s="83">
        <v>244</v>
      </c>
      <c r="AI113" s="83">
        <v>46</v>
      </c>
      <c r="AJ113" s="83"/>
      <c r="AK113" s="83" t="s">
        <v>2469</v>
      </c>
      <c r="AL113" s="83"/>
      <c r="AM113" s="83"/>
      <c r="AN113" s="83"/>
      <c r="AO113" s="85">
        <v>43872.177800925929</v>
      </c>
      <c r="AP113" s="83"/>
      <c r="AQ113" s="83" t="b">
        <v>1</v>
      </c>
      <c r="AR113" s="83" t="b">
        <v>0</v>
      </c>
      <c r="AS113" s="83" t="b">
        <v>0</v>
      </c>
      <c r="AT113" s="83"/>
      <c r="AU113" s="83">
        <v>0</v>
      </c>
      <c r="AV113" s="83"/>
      <c r="AW113" s="83" t="b">
        <v>0</v>
      </c>
      <c r="AX113" s="83" t="s">
        <v>2807</v>
      </c>
      <c r="AY113" s="88" t="str">
        <f>HYPERLINK("https://twitter.com/jte3j")</f>
        <v>https://twitter.com/jte3j</v>
      </c>
      <c r="AZ113" s="83" t="s">
        <v>66</v>
      </c>
      <c r="BA113" s="2"/>
      <c r="BB113" s="3"/>
      <c r="BC113" s="3"/>
      <c r="BD113" s="3"/>
      <c r="BE113" s="3"/>
    </row>
    <row r="114" spans="1:57" x14ac:dyDescent="0.2">
      <c r="A114" s="69" t="s">
        <v>365</v>
      </c>
      <c r="B114" s="70"/>
      <c r="C114" s="70"/>
      <c r="D114" s="71"/>
      <c r="E114" s="73"/>
      <c r="F114" s="109" t="str">
        <f>HYPERLINK("http://pbs.twimg.com/profile_images/1191732692682969088/qJ8J6D6p_normal.jpg")</f>
        <v>http://pbs.twimg.com/profile_images/1191732692682969088/qJ8J6D6p_normal.jpg</v>
      </c>
      <c r="G114" s="70"/>
      <c r="H114" s="74"/>
      <c r="I114" s="75"/>
      <c r="J114" s="75"/>
      <c r="K114" s="74" t="s">
        <v>2918</v>
      </c>
      <c r="L114" s="78"/>
      <c r="M114" s="79"/>
      <c r="N114" s="79"/>
      <c r="O114" s="80"/>
      <c r="P114" s="81"/>
      <c r="Q114" s="81"/>
      <c r="R114" s="93"/>
      <c r="S114" s="93"/>
      <c r="T114" s="93"/>
      <c r="U114" s="93"/>
      <c r="V114" s="52"/>
      <c r="W114" s="52"/>
      <c r="X114" s="52"/>
      <c r="Y114" s="52"/>
      <c r="Z114" s="51"/>
      <c r="AA114" s="76"/>
      <c r="AB114" s="76"/>
      <c r="AC114" s="77"/>
      <c r="AD114" s="83" t="s">
        <v>1940</v>
      </c>
      <c r="AE114" s="91" t="s">
        <v>2206</v>
      </c>
      <c r="AF114" s="83">
        <v>352</v>
      </c>
      <c r="AG114" s="83">
        <v>358</v>
      </c>
      <c r="AH114" s="83">
        <v>2020</v>
      </c>
      <c r="AI114" s="83">
        <v>9642</v>
      </c>
      <c r="AJ114" s="83"/>
      <c r="AK114" s="83" t="s">
        <v>2470</v>
      </c>
      <c r="AL114" s="83" t="s">
        <v>2709</v>
      </c>
      <c r="AM114" s="83"/>
      <c r="AN114" s="83"/>
      <c r="AO114" s="85">
        <v>43493.608368055553</v>
      </c>
      <c r="AP114" s="88" t="str">
        <f>HYPERLINK("https://pbs.twimg.com/profile_banners/1089894878362853376/1574071759")</f>
        <v>https://pbs.twimg.com/profile_banners/1089894878362853376/1574071759</v>
      </c>
      <c r="AQ114" s="83" t="b">
        <v>1</v>
      </c>
      <c r="AR114" s="83" t="b">
        <v>0</v>
      </c>
      <c r="AS114" s="83" t="b">
        <v>0</v>
      </c>
      <c r="AT114" s="83"/>
      <c r="AU114" s="83">
        <v>3</v>
      </c>
      <c r="AV114" s="83"/>
      <c r="AW114" s="83" t="b">
        <v>0</v>
      </c>
      <c r="AX114" s="83" t="s">
        <v>2807</v>
      </c>
      <c r="AY114" s="88" t="str">
        <f>HYPERLINK("https://twitter.com/tera7998")</f>
        <v>https://twitter.com/tera7998</v>
      </c>
      <c r="AZ114" s="83" t="s">
        <v>66</v>
      </c>
      <c r="BA114" s="2"/>
      <c r="BB114" s="3"/>
      <c r="BC114" s="3"/>
      <c r="BD114" s="3"/>
      <c r="BE114" s="3"/>
    </row>
    <row r="115" spans="1:57" x14ac:dyDescent="0.2">
      <c r="A115" s="69" t="s">
        <v>311</v>
      </c>
      <c r="B115" s="70"/>
      <c r="C115" s="70"/>
      <c r="D115" s="71"/>
      <c r="E115" s="73"/>
      <c r="F115" s="109" t="str">
        <f>HYPERLINK("http://pbs.twimg.com/profile_images/1162154885799981066/Fzl8adsF_normal.jpg")</f>
        <v>http://pbs.twimg.com/profile_images/1162154885799981066/Fzl8adsF_normal.jpg</v>
      </c>
      <c r="G115" s="70"/>
      <c r="H115" s="74"/>
      <c r="I115" s="75"/>
      <c r="J115" s="75"/>
      <c r="K115" s="74" t="s">
        <v>2919</v>
      </c>
      <c r="L115" s="78"/>
      <c r="M115" s="79"/>
      <c r="N115" s="79"/>
      <c r="O115" s="80"/>
      <c r="P115" s="81"/>
      <c r="Q115" s="81"/>
      <c r="R115" s="93"/>
      <c r="S115" s="93"/>
      <c r="T115" s="93"/>
      <c r="U115" s="93"/>
      <c r="V115" s="52"/>
      <c r="W115" s="52"/>
      <c r="X115" s="52"/>
      <c r="Y115" s="52"/>
      <c r="Z115" s="51"/>
      <c r="AA115" s="76"/>
      <c r="AB115" s="76"/>
      <c r="AC115" s="77"/>
      <c r="AD115" s="83" t="s">
        <v>1941</v>
      </c>
      <c r="AE115" s="91" t="s">
        <v>2207</v>
      </c>
      <c r="AF115" s="83">
        <v>1260</v>
      </c>
      <c r="AG115" s="83">
        <v>1611</v>
      </c>
      <c r="AH115" s="83">
        <v>6751</v>
      </c>
      <c r="AI115" s="83">
        <v>8526</v>
      </c>
      <c r="AJ115" s="83"/>
      <c r="AK115" s="83" t="s">
        <v>2471</v>
      </c>
      <c r="AL115" s="83" t="s">
        <v>2710</v>
      </c>
      <c r="AM115" s="83"/>
      <c r="AN115" s="83"/>
      <c r="AO115" s="85">
        <v>43647.591979166667</v>
      </c>
      <c r="AP115" s="88" t="str">
        <f>HYPERLINK("https://pbs.twimg.com/profile_banners/1145696674389647360/1593736692")</f>
        <v>https://pbs.twimg.com/profile_banners/1145696674389647360/1593736692</v>
      </c>
      <c r="AQ115" s="83" t="b">
        <v>0</v>
      </c>
      <c r="AR115" s="83" t="b">
        <v>0</v>
      </c>
      <c r="AS115" s="83" t="b">
        <v>1</v>
      </c>
      <c r="AT115" s="83"/>
      <c r="AU115" s="83">
        <v>13</v>
      </c>
      <c r="AV115" s="88" t="str">
        <f>HYPERLINK("http://abs.twimg.com/images/themes/theme1/bg.png")</f>
        <v>http://abs.twimg.com/images/themes/theme1/bg.png</v>
      </c>
      <c r="AW115" s="83" t="b">
        <v>0</v>
      </c>
      <c r="AX115" s="83" t="s">
        <v>2807</v>
      </c>
      <c r="AY115" s="88" t="str">
        <f>HYPERLINK("https://twitter.com/beekeepershour")</f>
        <v>https://twitter.com/beekeepershour</v>
      </c>
      <c r="AZ115" s="83" t="s">
        <v>66</v>
      </c>
      <c r="BA115" s="2"/>
      <c r="BB115" s="3"/>
      <c r="BC115" s="3"/>
      <c r="BD115" s="3"/>
      <c r="BE115" s="3"/>
    </row>
    <row r="116" spans="1:57" x14ac:dyDescent="0.2">
      <c r="A116" s="69" t="s">
        <v>313</v>
      </c>
      <c r="B116" s="70"/>
      <c r="C116" s="70"/>
      <c r="D116" s="71"/>
      <c r="E116" s="73"/>
      <c r="F116" s="109" t="str">
        <f>HYPERLINK("http://pbs.twimg.com/profile_images/834455712021565442/DNmi0RpP_normal.jpg")</f>
        <v>http://pbs.twimg.com/profile_images/834455712021565442/DNmi0RpP_normal.jpg</v>
      </c>
      <c r="G116" s="70"/>
      <c r="H116" s="74"/>
      <c r="I116" s="75"/>
      <c r="J116" s="75"/>
      <c r="K116" s="74" t="s">
        <v>2920</v>
      </c>
      <c r="L116" s="78"/>
      <c r="M116" s="79"/>
      <c r="N116" s="79"/>
      <c r="O116" s="80"/>
      <c r="P116" s="81"/>
      <c r="Q116" s="81"/>
      <c r="R116" s="93"/>
      <c r="S116" s="93"/>
      <c r="T116" s="93"/>
      <c r="U116" s="93"/>
      <c r="V116" s="52"/>
      <c r="W116" s="52"/>
      <c r="X116" s="52"/>
      <c r="Y116" s="52"/>
      <c r="Z116" s="51"/>
      <c r="AA116" s="76"/>
      <c r="AB116" s="76"/>
      <c r="AC116" s="77"/>
      <c r="AD116" s="83" t="s">
        <v>1942</v>
      </c>
      <c r="AE116" s="91" t="s">
        <v>2208</v>
      </c>
      <c r="AF116" s="83">
        <v>2289</v>
      </c>
      <c r="AG116" s="83">
        <v>1418</v>
      </c>
      <c r="AH116" s="83">
        <v>42579</v>
      </c>
      <c r="AI116" s="83">
        <v>32829</v>
      </c>
      <c r="AJ116" s="83"/>
      <c r="AK116" s="83" t="s">
        <v>2472</v>
      </c>
      <c r="AL116" s="83" t="s">
        <v>2711</v>
      </c>
      <c r="AM116" s="83"/>
      <c r="AN116" s="83"/>
      <c r="AO116" s="85">
        <v>42534.561909722222</v>
      </c>
      <c r="AP116" s="88" t="str">
        <f>HYPERLINK("https://pbs.twimg.com/profile_banners/742348080448704512/1488871214")</f>
        <v>https://pbs.twimg.com/profile_banners/742348080448704512/1488871214</v>
      </c>
      <c r="AQ116" s="83" t="b">
        <v>1</v>
      </c>
      <c r="AR116" s="83" t="b">
        <v>0</v>
      </c>
      <c r="AS116" s="83" t="b">
        <v>0</v>
      </c>
      <c r="AT116" s="83"/>
      <c r="AU116" s="83">
        <v>20</v>
      </c>
      <c r="AV116" s="83"/>
      <c r="AW116" s="83" t="b">
        <v>0</v>
      </c>
      <c r="AX116" s="83" t="s">
        <v>2807</v>
      </c>
      <c r="AY116" s="88" t="str">
        <f>HYPERLINK("https://twitter.com/flourishbees")</f>
        <v>https://twitter.com/flourishbees</v>
      </c>
      <c r="AZ116" s="83" t="s">
        <v>66</v>
      </c>
      <c r="BA116" s="2"/>
      <c r="BB116" s="3"/>
      <c r="BC116" s="3"/>
      <c r="BD116" s="3"/>
      <c r="BE116" s="3"/>
    </row>
    <row r="117" spans="1:57" x14ac:dyDescent="0.2">
      <c r="A117" s="69" t="s">
        <v>314</v>
      </c>
      <c r="B117" s="70"/>
      <c r="C117" s="70"/>
      <c r="D117" s="71"/>
      <c r="E117" s="73"/>
      <c r="F117" s="109" t="str">
        <f>HYPERLINK("http://pbs.twimg.com/profile_images/1113475414700097537/X8Rv1dIA_normal.jpg")</f>
        <v>http://pbs.twimg.com/profile_images/1113475414700097537/X8Rv1dIA_normal.jpg</v>
      </c>
      <c r="G117" s="70"/>
      <c r="H117" s="74"/>
      <c r="I117" s="75"/>
      <c r="J117" s="75"/>
      <c r="K117" s="74" t="s">
        <v>2921</v>
      </c>
      <c r="L117" s="78"/>
      <c r="M117" s="79"/>
      <c r="N117" s="79"/>
      <c r="O117" s="80"/>
      <c r="P117" s="81"/>
      <c r="Q117" s="81"/>
      <c r="R117" s="93"/>
      <c r="S117" s="93"/>
      <c r="T117" s="93"/>
      <c r="U117" s="93"/>
      <c r="V117" s="52"/>
      <c r="W117" s="52"/>
      <c r="X117" s="52"/>
      <c r="Y117" s="52"/>
      <c r="Z117" s="51"/>
      <c r="AA117" s="76"/>
      <c r="AB117" s="76"/>
      <c r="AC117" s="77"/>
      <c r="AD117" s="83" t="s">
        <v>1943</v>
      </c>
      <c r="AE117" s="91" t="s">
        <v>2209</v>
      </c>
      <c r="AF117" s="83">
        <v>100</v>
      </c>
      <c r="AG117" s="83">
        <v>92</v>
      </c>
      <c r="AH117" s="83">
        <v>2941</v>
      </c>
      <c r="AI117" s="83">
        <v>352</v>
      </c>
      <c r="AJ117" s="83"/>
      <c r="AK117" s="83" t="s">
        <v>2473</v>
      </c>
      <c r="AL117" s="83" t="s">
        <v>2712</v>
      </c>
      <c r="AM117" s="83"/>
      <c r="AN117" s="83"/>
      <c r="AO117" s="85">
        <v>43558.67690972222</v>
      </c>
      <c r="AP117" s="88" t="str">
        <f>HYPERLINK("https://pbs.twimg.com/profile_banners/1113474931369472000/1554308597")</f>
        <v>https://pbs.twimg.com/profile_banners/1113474931369472000/1554308597</v>
      </c>
      <c r="AQ117" s="83" t="b">
        <v>1</v>
      </c>
      <c r="AR117" s="83" t="b">
        <v>0</v>
      </c>
      <c r="AS117" s="83" t="b">
        <v>0</v>
      </c>
      <c r="AT117" s="83"/>
      <c r="AU117" s="83">
        <v>0</v>
      </c>
      <c r="AV117" s="83"/>
      <c r="AW117" s="83" t="b">
        <v>0</v>
      </c>
      <c r="AX117" s="83" t="s">
        <v>2807</v>
      </c>
      <c r="AY117" s="88" t="str">
        <f>HYPERLINK("https://twitter.com/coolportraitgil")</f>
        <v>https://twitter.com/coolportraitgil</v>
      </c>
      <c r="AZ117" s="83" t="s">
        <v>66</v>
      </c>
      <c r="BA117" s="2"/>
      <c r="BB117" s="3"/>
      <c r="BC117" s="3"/>
      <c r="BD117" s="3"/>
      <c r="BE117" s="3"/>
    </row>
    <row r="118" spans="1:57" x14ac:dyDescent="0.2">
      <c r="A118" s="69" t="s">
        <v>315</v>
      </c>
      <c r="B118" s="70"/>
      <c r="C118" s="70"/>
      <c r="D118" s="71"/>
      <c r="E118" s="73"/>
      <c r="F118" s="109" t="str">
        <f>HYPERLINK("http://pbs.twimg.com/profile_images/1248098752176345088/ejQaPFF1_normal.png")</f>
        <v>http://pbs.twimg.com/profile_images/1248098752176345088/ejQaPFF1_normal.png</v>
      </c>
      <c r="G118" s="70"/>
      <c r="H118" s="74"/>
      <c r="I118" s="75"/>
      <c r="J118" s="75"/>
      <c r="K118" s="74" t="s">
        <v>2922</v>
      </c>
      <c r="L118" s="78"/>
      <c r="M118" s="79"/>
      <c r="N118" s="79"/>
      <c r="O118" s="80"/>
      <c r="P118" s="81"/>
      <c r="Q118" s="81"/>
      <c r="R118" s="93"/>
      <c r="S118" s="93"/>
      <c r="T118" s="93"/>
      <c r="U118" s="93"/>
      <c r="V118" s="52"/>
      <c r="W118" s="52"/>
      <c r="X118" s="52"/>
      <c r="Y118" s="52"/>
      <c r="Z118" s="51"/>
      <c r="AA118" s="76"/>
      <c r="AB118" s="76"/>
      <c r="AC118" s="77"/>
      <c r="AD118" s="83" t="s">
        <v>1944</v>
      </c>
      <c r="AE118" s="91" t="s">
        <v>2210</v>
      </c>
      <c r="AF118" s="83">
        <v>929</v>
      </c>
      <c r="AG118" s="83">
        <v>579</v>
      </c>
      <c r="AH118" s="83">
        <v>51872</v>
      </c>
      <c r="AI118" s="83">
        <v>38363</v>
      </c>
      <c r="AJ118" s="83"/>
      <c r="AK118" s="83" t="s">
        <v>2474</v>
      </c>
      <c r="AL118" s="83" t="s">
        <v>2713</v>
      </c>
      <c r="AM118" s="83"/>
      <c r="AN118" s="83"/>
      <c r="AO118" s="85">
        <v>40921.275046296294</v>
      </c>
      <c r="AP118" s="88" t="str">
        <f>HYPERLINK("https://pbs.twimg.com/profile_banners/462672766/1545494520")</f>
        <v>https://pbs.twimg.com/profile_banners/462672766/1545494520</v>
      </c>
      <c r="AQ118" s="83" t="b">
        <v>1</v>
      </c>
      <c r="AR118" s="83" t="b">
        <v>0</v>
      </c>
      <c r="AS118" s="83" t="b">
        <v>0</v>
      </c>
      <c r="AT118" s="83"/>
      <c r="AU118" s="83">
        <v>0</v>
      </c>
      <c r="AV118" s="88" t="str">
        <f>HYPERLINK("http://abs.twimg.com/images/themes/theme1/bg.png")</f>
        <v>http://abs.twimg.com/images/themes/theme1/bg.png</v>
      </c>
      <c r="AW118" s="83" t="b">
        <v>0</v>
      </c>
      <c r="AX118" s="83" t="s">
        <v>2807</v>
      </c>
      <c r="AY118" s="88" t="str">
        <f>HYPERLINK("https://twitter.com/hot__mikan")</f>
        <v>https://twitter.com/hot__mikan</v>
      </c>
      <c r="AZ118" s="83" t="s">
        <v>66</v>
      </c>
      <c r="BA118" s="2"/>
      <c r="BB118" s="3"/>
      <c r="BC118" s="3"/>
      <c r="BD118" s="3"/>
      <c r="BE118" s="3"/>
    </row>
    <row r="119" spans="1:57" x14ac:dyDescent="0.2">
      <c r="A119" s="69" t="s">
        <v>316</v>
      </c>
      <c r="B119" s="70"/>
      <c r="C119" s="70"/>
      <c r="D119" s="71"/>
      <c r="E119" s="73"/>
      <c r="F119" s="109" t="str">
        <f>HYPERLINK("http://pbs.twimg.com/profile_images/937464401225048065/K9L4aIiH_normal.jpg")</f>
        <v>http://pbs.twimg.com/profile_images/937464401225048065/K9L4aIiH_normal.jpg</v>
      </c>
      <c r="G119" s="70"/>
      <c r="H119" s="74"/>
      <c r="I119" s="75"/>
      <c r="J119" s="75"/>
      <c r="K119" s="74" t="s">
        <v>2923</v>
      </c>
      <c r="L119" s="78"/>
      <c r="M119" s="79"/>
      <c r="N119" s="79"/>
      <c r="O119" s="80"/>
      <c r="P119" s="81"/>
      <c r="Q119" s="81"/>
      <c r="R119" s="93"/>
      <c r="S119" s="93"/>
      <c r="T119" s="93"/>
      <c r="U119" s="93"/>
      <c r="V119" s="52"/>
      <c r="W119" s="52"/>
      <c r="X119" s="52"/>
      <c r="Y119" s="52"/>
      <c r="Z119" s="51"/>
      <c r="AA119" s="76"/>
      <c r="AB119" s="76"/>
      <c r="AC119" s="77"/>
      <c r="AD119" s="83" t="s">
        <v>1945</v>
      </c>
      <c r="AE119" s="91" t="s">
        <v>2211</v>
      </c>
      <c r="AF119" s="83">
        <v>4046</v>
      </c>
      <c r="AG119" s="83">
        <v>4409</v>
      </c>
      <c r="AH119" s="83">
        <v>2104625</v>
      </c>
      <c r="AI119" s="83">
        <v>148968</v>
      </c>
      <c r="AJ119" s="83"/>
      <c r="AK119" s="83" t="s">
        <v>2475</v>
      </c>
      <c r="AL119" s="83" t="s">
        <v>2663</v>
      </c>
      <c r="AM119" s="88" t="str">
        <f>HYPERLINK("http://t.co/bEgmAJ6xfA")</f>
        <v>http://t.co/bEgmAJ6xfA</v>
      </c>
      <c r="AN119" s="83"/>
      <c r="AO119" s="85">
        <v>41177.608506944445</v>
      </c>
      <c r="AP119" s="88" t="str">
        <f>HYPERLINK("https://pbs.twimg.com/profile_banners/845635302/1564852987")</f>
        <v>https://pbs.twimg.com/profile_banners/845635302/1564852987</v>
      </c>
      <c r="AQ119" s="83" t="b">
        <v>0</v>
      </c>
      <c r="AR119" s="83" t="b">
        <v>0</v>
      </c>
      <c r="AS119" s="83" t="b">
        <v>0</v>
      </c>
      <c r="AT119" s="83"/>
      <c r="AU119" s="83">
        <v>436</v>
      </c>
      <c r="AV119" s="88" t="str">
        <f>HYPERLINK("http://abs.twimg.com/images/themes/theme14/bg.gif")</f>
        <v>http://abs.twimg.com/images/themes/theme14/bg.gif</v>
      </c>
      <c r="AW119" s="83" t="b">
        <v>0</v>
      </c>
      <c r="AX119" s="83" t="s">
        <v>2807</v>
      </c>
      <c r="AY119" s="88" t="str">
        <f>HYPERLINK("https://twitter.com/esquireattire")</f>
        <v>https://twitter.com/esquireattire</v>
      </c>
      <c r="AZ119" s="83" t="s">
        <v>66</v>
      </c>
      <c r="BA119" s="2"/>
      <c r="BB119" s="3"/>
      <c r="BC119" s="3"/>
      <c r="BD119" s="3"/>
      <c r="BE119" s="3"/>
    </row>
    <row r="120" spans="1:57" x14ac:dyDescent="0.2">
      <c r="A120" s="69" t="s">
        <v>317</v>
      </c>
      <c r="B120" s="70"/>
      <c r="C120" s="70"/>
      <c r="D120" s="71"/>
      <c r="E120" s="73"/>
      <c r="F120" s="109" t="str">
        <f>HYPERLINK("http://pbs.twimg.com/profile_images/1184241319595503616/ql0WhVqx_normal.jpg")</f>
        <v>http://pbs.twimg.com/profile_images/1184241319595503616/ql0WhVqx_normal.jpg</v>
      </c>
      <c r="G120" s="70"/>
      <c r="H120" s="74"/>
      <c r="I120" s="75"/>
      <c r="J120" s="75"/>
      <c r="K120" s="74" t="s">
        <v>2924</v>
      </c>
      <c r="L120" s="78"/>
      <c r="M120" s="79"/>
      <c r="N120" s="79"/>
      <c r="O120" s="80"/>
      <c r="P120" s="81"/>
      <c r="Q120" s="81"/>
      <c r="R120" s="93"/>
      <c r="S120" s="93"/>
      <c r="T120" s="93"/>
      <c r="U120" s="93"/>
      <c r="V120" s="52"/>
      <c r="W120" s="52"/>
      <c r="X120" s="52"/>
      <c r="Y120" s="52"/>
      <c r="Z120" s="51"/>
      <c r="AA120" s="76"/>
      <c r="AB120" s="76"/>
      <c r="AC120" s="77"/>
      <c r="AD120" s="83" t="s">
        <v>1946</v>
      </c>
      <c r="AE120" s="91" t="s">
        <v>2212</v>
      </c>
      <c r="AF120" s="83">
        <v>44</v>
      </c>
      <c r="AG120" s="83">
        <v>50</v>
      </c>
      <c r="AH120" s="83">
        <v>2348</v>
      </c>
      <c r="AI120" s="83">
        <v>1049</v>
      </c>
      <c r="AJ120" s="83"/>
      <c r="AK120" s="83" t="s">
        <v>2476</v>
      </c>
      <c r="AL120" s="83" t="s">
        <v>2714</v>
      </c>
      <c r="AM120" s="88" t="str">
        <f>HYPERLINK("https://t.co/YntJr0DMzA")</f>
        <v>https://t.co/YntJr0DMzA</v>
      </c>
      <c r="AN120" s="83"/>
      <c r="AO120" s="85">
        <v>43186.99628472222</v>
      </c>
      <c r="AP120" s="88" t="str">
        <f>HYPERLINK("https://pbs.twimg.com/profile_banners/978782380973436933/1531073585")</f>
        <v>https://pbs.twimg.com/profile_banners/978782380973436933/1531073585</v>
      </c>
      <c r="AQ120" s="83" t="b">
        <v>1</v>
      </c>
      <c r="AR120" s="83" t="b">
        <v>0</v>
      </c>
      <c r="AS120" s="83" t="b">
        <v>0</v>
      </c>
      <c r="AT120" s="83"/>
      <c r="AU120" s="83">
        <v>0</v>
      </c>
      <c r="AV120" s="83"/>
      <c r="AW120" s="83" t="b">
        <v>0</v>
      </c>
      <c r="AX120" s="83" t="s">
        <v>2807</v>
      </c>
      <c r="AY120" s="88" t="str">
        <f>HYPERLINK("https://twitter.com/bo_ku_chan_")</f>
        <v>https://twitter.com/bo_ku_chan_</v>
      </c>
      <c r="AZ120" s="83" t="s">
        <v>66</v>
      </c>
      <c r="BA120" s="2"/>
      <c r="BB120" s="3"/>
      <c r="BC120" s="3"/>
      <c r="BD120" s="3"/>
      <c r="BE120" s="3"/>
    </row>
    <row r="121" spans="1:57" x14ac:dyDescent="0.2">
      <c r="A121" s="69" t="s">
        <v>318</v>
      </c>
      <c r="B121" s="70"/>
      <c r="C121" s="70"/>
      <c r="D121" s="71"/>
      <c r="E121" s="73"/>
      <c r="F121" s="109" t="str">
        <f>HYPERLINK("http://pbs.twimg.com/profile_images/1262735374498988035/ztC5MJ9M_normal.jpg")</f>
        <v>http://pbs.twimg.com/profile_images/1262735374498988035/ztC5MJ9M_normal.jpg</v>
      </c>
      <c r="G121" s="70"/>
      <c r="H121" s="74"/>
      <c r="I121" s="75"/>
      <c r="J121" s="75"/>
      <c r="K121" s="74" t="s">
        <v>2925</v>
      </c>
      <c r="L121" s="78"/>
      <c r="M121" s="79"/>
      <c r="N121" s="79"/>
      <c r="O121" s="80"/>
      <c r="P121" s="81"/>
      <c r="Q121" s="81"/>
      <c r="R121" s="93"/>
      <c r="S121" s="93"/>
      <c r="T121" s="93"/>
      <c r="U121" s="93"/>
      <c r="V121" s="52"/>
      <c r="W121" s="52"/>
      <c r="X121" s="52"/>
      <c r="Y121" s="52"/>
      <c r="Z121" s="51"/>
      <c r="AA121" s="76"/>
      <c r="AB121" s="76"/>
      <c r="AC121" s="77"/>
      <c r="AD121" s="83" t="s">
        <v>1947</v>
      </c>
      <c r="AE121" s="91" t="s">
        <v>2213</v>
      </c>
      <c r="AF121" s="83">
        <v>63</v>
      </c>
      <c r="AG121" s="83">
        <v>52</v>
      </c>
      <c r="AH121" s="83">
        <v>2482</v>
      </c>
      <c r="AI121" s="83">
        <v>3165</v>
      </c>
      <c r="AJ121" s="83"/>
      <c r="AK121" s="83" t="s">
        <v>2477</v>
      </c>
      <c r="AL121" s="83" t="s">
        <v>2715</v>
      </c>
      <c r="AM121" s="83"/>
      <c r="AN121" s="83"/>
      <c r="AO121" s="85">
        <v>43154.178506944445</v>
      </c>
      <c r="AP121" s="88" t="str">
        <f>HYPERLINK("https://pbs.twimg.com/profile_banners/966889618745405440/1519378721")</f>
        <v>https://pbs.twimg.com/profile_banners/966889618745405440/1519378721</v>
      </c>
      <c r="AQ121" s="83" t="b">
        <v>0</v>
      </c>
      <c r="AR121" s="83" t="b">
        <v>0</v>
      </c>
      <c r="AS121" s="83" t="b">
        <v>0</v>
      </c>
      <c r="AT121" s="83"/>
      <c r="AU121" s="83">
        <v>1</v>
      </c>
      <c r="AV121" s="88" t="str">
        <f>HYPERLINK("http://abs.twimg.com/images/themes/theme1/bg.png")</f>
        <v>http://abs.twimg.com/images/themes/theme1/bg.png</v>
      </c>
      <c r="AW121" s="83" t="b">
        <v>0</v>
      </c>
      <c r="AX121" s="83" t="s">
        <v>2807</v>
      </c>
      <c r="AY121" s="88" t="str">
        <f>HYPERLINK("https://twitter.com/osumashipokemon")</f>
        <v>https://twitter.com/osumashipokemon</v>
      </c>
      <c r="AZ121" s="83" t="s">
        <v>66</v>
      </c>
      <c r="BA121" s="2"/>
      <c r="BB121" s="3"/>
      <c r="BC121" s="3"/>
      <c r="BD121" s="3"/>
      <c r="BE121" s="3"/>
    </row>
    <row r="122" spans="1:57" x14ac:dyDescent="0.2">
      <c r="A122" s="69" t="s">
        <v>320</v>
      </c>
      <c r="B122" s="70"/>
      <c r="C122" s="70"/>
      <c r="D122" s="71"/>
      <c r="E122" s="73"/>
      <c r="F122" s="109" t="str">
        <f>HYPERLINK("http://pbs.twimg.com/profile_images/684854379896127488/bUTTFv_0_normal.jpg")</f>
        <v>http://pbs.twimg.com/profile_images/684854379896127488/bUTTFv_0_normal.jpg</v>
      </c>
      <c r="G122" s="70"/>
      <c r="H122" s="74"/>
      <c r="I122" s="75"/>
      <c r="J122" s="75"/>
      <c r="K122" s="74" t="s">
        <v>2926</v>
      </c>
      <c r="L122" s="78"/>
      <c r="M122" s="79"/>
      <c r="N122" s="79"/>
      <c r="O122" s="80"/>
      <c r="P122" s="81"/>
      <c r="Q122" s="81"/>
      <c r="R122" s="93"/>
      <c r="S122" s="93"/>
      <c r="T122" s="93"/>
      <c r="U122" s="93"/>
      <c r="V122" s="52"/>
      <c r="W122" s="52"/>
      <c r="X122" s="52"/>
      <c r="Y122" s="52"/>
      <c r="Z122" s="51"/>
      <c r="AA122" s="76"/>
      <c r="AB122" s="76"/>
      <c r="AC122" s="77"/>
      <c r="AD122" s="83" t="s">
        <v>1948</v>
      </c>
      <c r="AE122" s="91" t="s">
        <v>2214</v>
      </c>
      <c r="AF122" s="83">
        <v>6536</v>
      </c>
      <c r="AG122" s="83">
        <v>6062</v>
      </c>
      <c r="AH122" s="83">
        <v>3264</v>
      </c>
      <c r="AI122" s="83">
        <v>15383</v>
      </c>
      <c r="AJ122" s="83"/>
      <c r="AK122" s="83"/>
      <c r="AL122" s="83"/>
      <c r="AM122" s="88" t="str">
        <f>HYPERLINK("https://t.co/DyJQlGIeuV")</f>
        <v>https://t.co/DyJQlGIeuV</v>
      </c>
      <c r="AN122" s="83"/>
      <c r="AO122" s="85">
        <v>42375.90829861111</v>
      </c>
      <c r="AP122" s="88" t="str">
        <f>HYPERLINK("https://pbs.twimg.com/profile_banners/4720310292/1452117209")</f>
        <v>https://pbs.twimg.com/profile_banners/4720310292/1452117209</v>
      </c>
      <c r="AQ122" s="83" t="b">
        <v>0</v>
      </c>
      <c r="AR122" s="83" t="b">
        <v>0</v>
      </c>
      <c r="AS122" s="83" t="b">
        <v>0</v>
      </c>
      <c r="AT122" s="83"/>
      <c r="AU122" s="83">
        <v>28</v>
      </c>
      <c r="AV122" s="88" t="str">
        <f>HYPERLINK("http://abs.twimg.com/images/themes/theme1/bg.png")</f>
        <v>http://abs.twimg.com/images/themes/theme1/bg.png</v>
      </c>
      <c r="AW122" s="83" t="b">
        <v>0</v>
      </c>
      <c r="AX122" s="83" t="s">
        <v>2807</v>
      </c>
      <c r="AY122" s="88" t="str">
        <f>HYPERLINK("https://twitter.com/stonedzine")</f>
        <v>https://twitter.com/stonedzine</v>
      </c>
      <c r="AZ122" s="83" t="s">
        <v>66</v>
      </c>
      <c r="BA122" s="2"/>
      <c r="BB122" s="3"/>
      <c r="BC122" s="3"/>
      <c r="BD122" s="3"/>
      <c r="BE122" s="3"/>
    </row>
    <row r="123" spans="1:57" x14ac:dyDescent="0.2">
      <c r="A123" s="69" t="s">
        <v>321</v>
      </c>
      <c r="B123" s="70"/>
      <c r="C123" s="70"/>
      <c r="D123" s="71"/>
      <c r="E123" s="73"/>
      <c r="F123" s="109" t="str">
        <f>HYPERLINK("http://pbs.twimg.com/profile_images/1279110276642717701/4d18_dQE_normal.jpg")</f>
        <v>http://pbs.twimg.com/profile_images/1279110276642717701/4d18_dQE_normal.jpg</v>
      </c>
      <c r="G123" s="70"/>
      <c r="H123" s="74"/>
      <c r="I123" s="75"/>
      <c r="J123" s="75"/>
      <c r="K123" s="74" t="s">
        <v>2927</v>
      </c>
      <c r="L123" s="78"/>
      <c r="M123" s="79"/>
      <c r="N123" s="79"/>
      <c r="O123" s="80"/>
      <c r="P123" s="81"/>
      <c r="Q123" s="81"/>
      <c r="R123" s="93"/>
      <c r="S123" s="93"/>
      <c r="T123" s="93"/>
      <c r="U123" s="93"/>
      <c r="V123" s="52"/>
      <c r="W123" s="52"/>
      <c r="X123" s="52"/>
      <c r="Y123" s="52"/>
      <c r="Z123" s="51"/>
      <c r="AA123" s="76"/>
      <c r="AB123" s="76"/>
      <c r="AC123" s="77"/>
      <c r="AD123" s="83" t="s">
        <v>1949</v>
      </c>
      <c r="AE123" s="91" t="s">
        <v>2215</v>
      </c>
      <c r="AF123" s="83">
        <v>229</v>
      </c>
      <c r="AG123" s="83">
        <v>11</v>
      </c>
      <c r="AH123" s="83">
        <v>105</v>
      </c>
      <c r="AI123" s="83">
        <v>680</v>
      </c>
      <c r="AJ123" s="83"/>
      <c r="AK123" s="83" t="s">
        <v>2478</v>
      </c>
      <c r="AL123" s="83" t="s">
        <v>2716</v>
      </c>
      <c r="AM123" s="83"/>
      <c r="AN123" s="83"/>
      <c r="AO123" s="85">
        <v>43592.634317129632</v>
      </c>
      <c r="AP123" s="88" t="str">
        <f>HYPERLINK("https://pbs.twimg.com/profile_banners/1125780684591775746/1585779980")</f>
        <v>https://pbs.twimg.com/profile_banners/1125780684591775746/1585779980</v>
      </c>
      <c r="AQ123" s="83" t="b">
        <v>1</v>
      </c>
      <c r="AR123" s="83" t="b">
        <v>0</v>
      </c>
      <c r="AS123" s="83" t="b">
        <v>0</v>
      </c>
      <c r="AT123" s="83"/>
      <c r="AU123" s="83">
        <v>0</v>
      </c>
      <c r="AV123" s="83"/>
      <c r="AW123" s="83" t="b">
        <v>0</v>
      </c>
      <c r="AX123" s="83" t="s">
        <v>2807</v>
      </c>
      <c r="AY123" s="88" t="str">
        <f>HYPERLINK("https://twitter.com/matthewus13")</f>
        <v>https://twitter.com/matthewus13</v>
      </c>
      <c r="AZ123" s="83" t="s">
        <v>66</v>
      </c>
      <c r="BA123" s="2"/>
      <c r="BB123" s="3"/>
      <c r="BC123" s="3"/>
      <c r="BD123" s="3"/>
      <c r="BE123" s="3"/>
    </row>
    <row r="124" spans="1:57" x14ac:dyDescent="0.2">
      <c r="A124" s="69" t="s">
        <v>322</v>
      </c>
      <c r="B124" s="70"/>
      <c r="C124" s="70"/>
      <c r="D124" s="71"/>
      <c r="E124" s="73"/>
      <c r="F124" s="109" t="str">
        <f>HYPERLINK("http://pbs.twimg.com/profile_images/979303903824027648/f2KkxR97_normal.jpg")</f>
        <v>http://pbs.twimg.com/profile_images/979303903824027648/f2KkxR97_normal.jpg</v>
      </c>
      <c r="G124" s="70"/>
      <c r="H124" s="74"/>
      <c r="I124" s="75"/>
      <c r="J124" s="75"/>
      <c r="K124" s="74" t="s">
        <v>2928</v>
      </c>
      <c r="L124" s="78"/>
      <c r="M124" s="79"/>
      <c r="N124" s="79"/>
      <c r="O124" s="80"/>
      <c r="P124" s="81"/>
      <c r="Q124" s="81"/>
      <c r="R124" s="93"/>
      <c r="S124" s="93"/>
      <c r="T124" s="93"/>
      <c r="U124" s="93"/>
      <c r="V124" s="52"/>
      <c r="W124" s="52"/>
      <c r="X124" s="52"/>
      <c r="Y124" s="52"/>
      <c r="Z124" s="51"/>
      <c r="AA124" s="76"/>
      <c r="AB124" s="76"/>
      <c r="AC124" s="77"/>
      <c r="AD124" s="83" t="s">
        <v>1950</v>
      </c>
      <c r="AE124" s="91" t="s">
        <v>2216</v>
      </c>
      <c r="AF124" s="83">
        <v>127</v>
      </c>
      <c r="AG124" s="83">
        <v>52</v>
      </c>
      <c r="AH124" s="83">
        <v>708</v>
      </c>
      <c r="AI124" s="83">
        <v>2464</v>
      </c>
      <c r="AJ124" s="83"/>
      <c r="AK124" s="83" t="s">
        <v>2479</v>
      </c>
      <c r="AL124" s="83"/>
      <c r="AM124" s="83"/>
      <c r="AN124" s="83"/>
      <c r="AO124" s="85">
        <v>43026.227546296293</v>
      </c>
      <c r="AP124" s="88" t="str">
        <f>HYPERLINK("https://pbs.twimg.com/profile_banners/920521743567065089/1587482450")</f>
        <v>https://pbs.twimg.com/profile_banners/920521743567065089/1587482450</v>
      </c>
      <c r="AQ124" s="83" t="b">
        <v>1</v>
      </c>
      <c r="AR124" s="83" t="b">
        <v>0</v>
      </c>
      <c r="AS124" s="83" t="b">
        <v>1</v>
      </c>
      <c r="AT124" s="83"/>
      <c r="AU124" s="83">
        <v>1</v>
      </c>
      <c r="AV124" s="83"/>
      <c r="AW124" s="83" t="b">
        <v>0</v>
      </c>
      <c r="AX124" s="83" t="s">
        <v>2807</v>
      </c>
      <c r="AY124" s="88" t="str">
        <f>HYPERLINK("https://twitter.com/m_liverbird1892")</f>
        <v>https://twitter.com/m_liverbird1892</v>
      </c>
      <c r="AZ124" s="83" t="s">
        <v>66</v>
      </c>
      <c r="BA124" s="2"/>
      <c r="BB124" s="3"/>
      <c r="BC124" s="3"/>
      <c r="BD124" s="3"/>
      <c r="BE124" s="3"/>
    </row>
    <row r="125" spans="1:57" x14ac:dyDescent="0.2">
      <c r="A125" s="69" t="s">
        <v>323</v>
      </c>
      <c r="B125" s="70"/>
      <c r="C125" s="70"/>
      <c r="D125" s="71"/>
      <c r="E125" s="73"/>
      <c r="F125" s="109" t="str">
        <f>HYPERLINK("http://pbs.twimg.com/profile_images/1254432121474539520/NZCUf-1J_normal.jpg")</f>
        <v>http://pbs.twimg.com/profile_images/1254432121474539520/NZCUf-1J_normal.jpg</v>
      </c>
      <c r="G125" s="70"/>
      <c r="H125" s="74"/>
      <c r="I125" s="75"/>
      <c r="J125" s="75"/>
      <c r="K125" s="74" t="s">
        <v>2929</v>
      </c>
      <c r="L125" s="78"/>
      <c r="M125" s="79"/>
      <c r="N125" s="79"/>
      <c r="O125" s="80"/>
      <c r="P125" s="81"/>
      <c r="Q125" s="81"/>
      <c r="R125" s="93"/>
      <c r="S125" s="93"/>
      <c r="T125" s="93"/>
      <c r="U125" s="93"/>
      <c r="V125" s="52"/>
      <c r="W125" s="52"/>
      <c r="X125" s="52"/>
      <c r="Y125" s="52"/>
      <c r="Z125" s="51"/>
      <c r="AA125" s="76"/>
      <c r="AB125" s="76"/>
      <c r="AC125" s="77"/>
      <c r="AD125" s="83" t="s">
        <v>1951</v>
      </c>
      <c r="AE125" s="91" t="s">
        <v>2217</v>
      </c>
      <c r="AF125" s="83">
        <v>471</v>
      </c>
      <c r="AG125" s="83">
        <v>298</v>
      </c>
      <c r="AH125" s="83">
        <v>21921</v>
      </c>
      <c r="AI125" s="83">
        <v>10951</v>
      </c>
      <c r="AJ125" s="83"/>
      <c r="AK125" s="83" t="s">
        <v>2480</v>
      </c>
      <c r="AL125" s="83" t="s">
        <v>2717</v>
      </c>
      <c r="AM125" s="83"/>
      <c r="AN125" s="83"/>
      <c r="AO125" s="85">
        <v>43272.60193287037</v>
      </c>
      <c r="AP125" s="83"/>
      <c r="AQ125" s="83" t="b">
        <v>1</v>
      </c>
      <c r="AR125" s="83" t="b">
        <v>0</v>
      </c>
      <c r="AS125" s="83" t="b">
        <v>1</v>
      </c>
      <c r="AT125" s="83"/>
      <c r="AU125" s="83">
        <v>5</v>
      </c>
      <c r="AV125" s="83"/>
      <c r="AW125" s="83" t="b">
        <v>0</v>
      </c>
      <c r="AX125" s="83" t="s">
        <v>2807</v>
      </c>
      <c r="AY125" s="88" t="str">
        <f>HYPERLINK("https://twitter.com/whitecrow331")</f>
        <v>https://twitter.com/whitecrow331</v>
      </c>
      <c r="AZ125" s="83" t="s">
        <v>66</v>
      </c>
      <c r="BA125" s="2"/>
      <c r="BB125" s="3"/>
      <c r="BC125" s="3"/>
      <c r="BD125" s="3"/>
      <c r="BE125" s="3"/>
    </row>
    <row r="126" spans="1:57" x14ac:dyDescent="0.2">
      <c r="A126" s="69" t="s">
        <v>324</v>
      </c>
      <c r="B126" s="70"/>
      <c r="C126" s="70"/>
      <c r="D126" s="71"/>
      <c r="E126" s="73"/>
      <c r="F126" s="109" t="str">
        <f>HYPERLINK("http://pbs.twimg.com/profile_images/1177141717482582016/wq66Nag__normal.jpg")</f>
        <v>http://pbs.twimg.com/profile_images/1177141717482582016/wq66Nag__normal.jpg</v>
      </c>
      <c r="G126" s="70"/>
      <c r="H126" s="74"/>
      <c r="I126" s="75"/>
      <c r="J126" s="75"/>
      <c r="K126" s="74" t="s">
        <v>2930</v>
      </c>
      <c r="L126" s="78"/>
      <c r="M126" s="79"/>
      <c r="N126" s="79"/>
      <c r="O126" s="80"/>
      <c r="P126" s="81"/>
      <c r="Q126" s="81"/>
      <c r="R126" s="93"/>
      <c r="S126" s="93"/>
      <c r="T126" s="93"/>
      <c r="U126" s="93"/>
      <c r="V126" s="52"/>
      <c r="W126" s="52"/>
      <c r="X126" s="52"/>
      <c r="Y126" s="52"/>
      <c r="Z126" s="51"/>
      <c r="AA126" s="76"/>
      <c r="AB126" s="76"/>
      <c r="AC126" s="77"/>
      <c r="AD126" s="83" t="s">
        <v>1952</v>
      </c>
      <c r="AE126" s="91" t="s">
        <v>2218</v>
      </c>
      <c r="AF126" s="83">
        <v>5002</v>
      </c>
      <c r="AG126" s="83">
        <v>3128</v>
      </c>
      <c r="AH126" s="83">
        <v>46249</v>
      </c>
      <c r="AI126" s="83">
        <v>44264</v>
      </c>
      <c r="AJ126" s="83"/>
      <c r="AK126" s="83" t="s">
        <v>2481</v>
      </c>
      <c r="AL126" s="83"/>
      <c r="AM126" s="83"/>
      <c r="AN126" s="83"/>
      <c r="AO126" s="85">
        <v>43043.442511574074</v>
      </c>
      <c r="AP126" s="83"/>
      <c r="AQ126" s="83" t="b">
        <v>1</v>
      </c>
      <c r="AR126" s="83" t="b">
        <v>0</v>
      </c>
      <c r="AS126" s="83" t="b">
        <v>0</v>
      </c>
      <c r="AT126" s="83"/>
      <c r="AU126" s="83">
        <v>3</v>
      </c>
      <c r="AV126" s="83"/>
      <c r="AW126" s="83" t="b">
        <v>0</v>
      </c>
      <c r="AX126" s="83" t="s">
        <v>2807</v>
      </c>
      <c r="AY126" s="88" t="str">
        <f>HYPERLINK("https://twitter.com/godnusa")</f>
        <v>https://twitter.com/godnusa</v>
      </c>
      <c r="AZ126" s="83" t="s">
        <v>66</v>
      </c>
      <c r="BA126" s="2"/>
      <c r="BB126" s="3"/>
      <c r="BC126" s="3"/>
      <c r="BD126" s="3"/>
      <c r="BE126" s="3"/>
    </row>
    <row r="127" spans="1:57" x14ac:dyDescent="0.2">
      <c r="A127" s="69" t="s">
        <v>474</v>
      </c>
      <c r="B127" s="70"/>
      <c r="C127" s="70"/>
      <c r="D127" s="71"/>
      <c r="E127" s="73"/>
      <c r="F127" s="109" t="str">
        <f>HYPERLINK("http://pbs.twimg.com/profile_images/1256254320628174855/Guxd0fEU_normal.jpg")</f>
        <v>http://pbs.twimg.com/profile_images/1256254320628174855/Guxd0fEU_normal.jpg</v>
      </c>
      <c r="G127" s="70"/>
      <c r="H127" s="74"/>
      <c r="I127" s="75"/>
      <c r="J127" s="75"/>
      <c r="K127" s="74" t="s">
        <v>2931</v>
      </c>
      <c r="L127" s="78"/>
      <c r="M127" s="79"/>
      <c r="N127" s="79"/>
      <c r="O127" s="80"/>
      <c r="P127" s="81"/>
      <c r="Q127" s="81"/>
      <c r="R127" s="93"/>
      <c r="S127" s="93"/>
      <c r="T127" s="93"/>
      <c r="U127" s="93"/>
      <c r="V127" s="52"/>
      <c r="W127" s="52"/>
      <c r="X127" s="52"/>
      <c r="Y127" s="52"/>
      <c r="Z127" s="51"/>
      <c r="AA127" s="76"/>
      <c r="AB127" s="76"/>
      <c r="AC127" s="77"/>
      <c r="AD127" s="83" t="s">
        <v>1953</v>
      </c>
      <c r="AE127" s="91" t="s">
        <v>2219</v>
      </c>
      <c r="AF127" s="83">
        <v>3178</v>
      </c>
      <c r="AG127" s="83">
        <v>77115</v>
      </c>
      <c r="AH127" s="83">
        <v>37407</v>
      </c>
      <c r="AI127" s="83">
        <v>5667</v>
      </c>
      <c r="AJ127" s="83"/>
      <c r="AK127" s="83" t="s">
        <v>2482</v>
      </c>
      <c r="AL127" s="83"/>
      <c r="AM127" s="88" t="str">
        <f>HYPERLINK("http://t.co/iQv68ALVdV")</f>
        <v>http://t.co/iQv68ALVdV</v>
      </c>
      <c r="AN127" s="83"/>
      <c r="AO127" s="85">
        <v>39693.814768518518</v>
      </c>
      <c r="AP127" s="88" t="str">
        <f>HYPERLINK("https://pbs.twimg.com/profile_banners/16101626/1588194382")</f>
        <v>https://pbs.twimg.com/profile_banners/16101626/1588194382</v>
      </c>
      <c r="AQ127" s="83" t="b">
        <v>0</v>
      </c>
      <c r="AR127" s="83" t="b">
        <v>0</v>
      </c>
      <c r="AS127" s="83" t="b">
        <v>1</v>
      </c>
      <c r="AT127" s="83"/>
      <c r="AU127" s="83">
        <v>746</v>
      </c>
      <c r="AV127" s="88" t="str">
        <f>HYPERLINK("http://abs.twimg.com/images/themes/theme10/bg.gif")</f>
        <v>http://abs.twimg.com/images/themes/theme10/bg.gif</v>
      </c>
      <c r="AW127" s="83" t="b">
        <v>1</v>
      </c>
      <c r="AX127" s="83" t="s">
        <v>2807</v>
      </c>
      <c r="AY127" s="88" t="str">
        <f>HYPERLINK("https://twitter.com/wayfair")</f>
        <v>https://twitter.com/wayfair</v>
      </c>
      <c r="AZ127" s="83" t="s">
        <v>65</v>
      </c>
      <c r="BA127" s="2"/>
      <c r="BB127" s="3"/>
      <c r="BC127" s="3"/>
      <c r="BD127" s="3"/>
      <c r="BE127" s="3"/>
    </row>
    <row r="128" spans="1:57" x14ac:dyDescent="0.2">
      <c r="A128" s="69" t="s">
        <v>475</v>
      </c>
      <c r="B128" s="70"/>
      <c r="C128" s="70"/>
      <c r="D128" s="71"/>
      <c r="E128" s="73"/>
      <c r="F128" s="109" t="str">
        <f>HYPERLINK("http://pbs.twimg.com/profile_images/1198816383414521857/6AsbYoYg_normal.jpg")</f>
        <v>http://pbs.twimg.com/profile_images/1198816383414521857/6AsbYoYg_normal.jpg</v>
      </c>
      <c r="G128" s="70"/>
      <c r="H128" s="74"/>
      <c r="I128" s="75"/>
      <c r="J128" s="75"/>
      <c r="K128" s="74" t="s">
        <v>2932</v>
      </c>
      <c r="L128" s="78"/>
      <c r="M128" s="79"/>
      <c r="N128" s="79"/>
      <c r="O128" s="80"/>
      <c r="P128" s="81"/>
      <c r="Q128" s="81"/>
      <c r="R128" s="93"/>
      <c r="S128" s="93"/>
      <c r="T128" s="93"/>
      <c r="U128" s="93"/>
      <c r="V128" s="52"/>
      <c r="W128" s="52"/>
      <c r="X128" s="52"/>
      <c r="Y128" s="52"/>
      <c r="Z128" s="51"/>
      <c r="AA128" s="76"/>
      <c r="AB128" s="76"/>
      <c r="AC128" s="77"/>
      <c r="AD128" s="83" t="s">
        <v>1954</v>
      </c>
      <c r="AE128" s="91" t="s">
        <v>2220</v>
      </c>
      <c r="AF128" s="83">
        <v>3713</v>
      </c>
      <c r="AG128" s="83">
        <v>91503</v>
      </c>
      <c r="AH128" s="83">
        <v>398552</v>
      </c>
      <c r="AI128" s="83">
        <v>342584</v>
      </c>
      <c r="AJ128" s="83"/>
      <c r="AK128" s="83" t="s">
        <v>2483</v>
      </c>
      <c r="AL128" s="83" t="s">
        <v>2718</v>
      </c>
      <c r="AM128" s="88" t="str">
        <f>HYPERLINK("https://t.co/Cha2mx2RmX")</f>
        <v>https://t.co/Cha2mx2RmX</v>
      </c>
      <c r="AN128" s="83"/>
      <c r="AO128" s="85">
        <v>40296.853958333333</v>
      </c>
      <c r="AP128" s="88" t="str">
        <f>HYPERLINK("https://pbs.twimg.com/profile_banners/138168339/1375567628")</f>
        <v>https://pbs.twimg.com/profile_banners/138168339/1375567628</v>
      </c>
      <c r="AQ128" s="83" t="b">
        <v>0</v>
      </c>
      <c r="AR128" s="83" t="b">
        <v>0</v>
      </c>
      <c r="AS128" s="83" t="b">
        <v>1</v>
      </c>
      <c r="AT128" s="83"/>
      <c r="AU128" s="83">
        <v>1138</v>
      </c>
      <c r="AV128" s="88" t="str">
        <f>HYPERLINK("http://abs.twimg.com/images/themes/theme15/bg.png")</f>
        <v>http://abs.twimg.com/images/themes/theme15/bg.png</v>
      </c>
      <c r="AW128" s="83" t="b">
        <v>0</v>
      </c>
      <c r="AX128" s="83" t="s">
        <v>2807</v>
      </c>
      <c r="AY128" s="88" t="str">
        <f>HYPERLINK("https://twitter.com/vabvox")</f>
        <v>https://twitter.com/vabvox</v>
      </c>
      <c r="AZ128" s="83" t="s">
        <v>65</v>
      </c>
      <c r="BA128" s="2"/>
      <c r="BB128" s="3"/>
      <c r="BC128" s="3"/>
      <c r="BD128" s="3"/>
      <c r="BE128" s="3"/>
    </row>
    <row r="129" spans="1:57" x14ac:dyDescent="0.2">
      <c r="A129" s="69" t="s">
        <v>476</v>
      </c>
      <c r="B129" s="70"/>
      <c r="C129" s="70"/>
      <c r="D129" s="71"/>
      <c r="E129" s="73"/>
      <c r="F129" s="109" t="str">
        <f>HYPERLINK("http://pbs.twimg.com/profile_images/808149172557934592/sY4klaT__normal.jpg")</f>
        <v>http://pbs.twimg.com/profile_images/808149172557934592/sY4klaT__normal.jpg</v>
      </c>
      <c r="G129" s="70"/>
      <c r="H129" s="74"/>
      <c r="I129" s="75"/>
      <c r="J129" s="75"/>
      <c r="K129" s="74" t="s">
        <v>2933</v>
      </c>
      <c r="L129" s="78"/>
      <c r="M129" s="79"/>
      <c r="N129" s="79"/>
      <c r="O129" s="80"/>
      <c r="P129" s="81"/>
      <c r="Q129" s="81"/>
      <c r="R129" s="93"/>
      <c r="S129" s="93"/>
      <c r="T129" s="93"/>
      <c r="U129" s="93"/>
      <c r="V129" s="52"/>
      <c r="W129" s="52"/>
      <c r="X129" s="52"/>
      <c r="Y129" s="52"/>
      <c r="Z129" s="51"/>
      <c r="AA129" s="76"/>
      <c r="AB129" s="76"/>
      <c r="AC129" s="77"/>
      <c r="AD129" s="83" t="s">
        <v>1955</v>
      </c>
      <c r="AE129" s="91" t="s">
        <v>2221</v>
      </c>
      <c r="AF129" s="83">
        <v>286</v>
      </c>
      <c r="AG129" s="83">
        <v>277</v>
      </c>
      <c r="AH129" s="83">
        <v>4551</v>
      </c>
      <c r="AI129" s="83">
        <v>4426</v>
      </c>
      <c r="AJ129" s="83"/>
      <c r="AK129" s="83" t="s">
        <v>2484</v>
      </c>
      <c r="AL129" s="83" t="s">
        <v>2719</v>
      </c>
      <c r="AM129" s="88" t="str">
        <f>HYPERLINK("https://t.co/V5CqGw4rHK")</f>
        <v>https://t.co/V5CqGw4rHK</v>
      </c>
      <c r="AN129" s="83"/>
      <c r="AO129" s="85">
        <v>40643.919027777774</v>
      </c>
      <c r="AP129" s="88" t="str">
        <f>HYPERLINK("https://pbs.twimg.com/profile_banners/280218413/1576984648")</f>
        <v>https://pbs.twimg.com/profile_banners/280218413/1576984648</v>
      </c>
      <c r="AQ129" s="83" t="b">
        <v>0</v>
      </c>
      <c r="AR129" s="83" t="b">
        <v>0</v>
      </c>
      <c r="AS129" s="83" t="b">
        <v>1</v>
      </c>
      <c r="AT129" s="83"/>
      <c r="AU129" s="83">
        <v>2</v>
      </c>
      <c r="AV129" s="88" t="str">
        <f>HYPERLINK("http://abs.twimg.com/images/themes/theme14/bg.gif")</f>
        <v>http://abs.twimg.com/images/themes/theme14/bg.gif</v>
      </c>
      <c r="AW129" s="83" t="b">
        <v>0</v>
      </c>
      <c r="AX129" s="83" t="s">
        <v>2807</v>
      </c>
      <c r="AY129" s="88" t="str">
        <f>HYPERLINK("https://twitter.com/oldkingcole17")</f>
        <v>https://twitter.com/oldkingcole17</v>
      </c>
      <c r="AZ129" s="83" t="s">
        <v>65</v>
      </c>
      <c r="BA129" s="2"/>
      <c r="BB129" s="3"/>
      <c r="BC129" s="3"/>
      <c r="BD129" s="3"/>
      <c r="BE129" s="3"/>
    </row>
    <row r="130" spans="1:57" x14ac:dyDescent="0.2">
      <c r="A130" s="69" t="s">
        <v>325</v>
      </c>
      <c r="B130" s="70"/>
      <c r="C130" s="70"/>
      <c r="D130" s="71"/>
      <c r="E130" s="73"/>
      <c r="F130" s="109" t="str">
        <f>HYPERLINK("http://pbs.twimg.com/profile_images/872371572111224833/o9_kXggF_normal.jpg")</f>
        <v>http://pbs.twimg.com/profile_images/872371572111224833/o9_kXggF_normal.jpg</v>
      </c>
      <c r="G130" s="70"/>
      <c r="H130" s="74"/>
      <c r="I130" s="75"/>
      <c r="J130" s="75"/>
      <c r="K130" s="74" t="s">
        <v>2934</v>
      </c>
      <c r="L130" s="78"/>
      <c r="M130" s="79"/>
      <c r="N130" s="79"/>
      <c r="O130" s="80"/>
      <c r="P130" s="81"/>
      <c r="Q130" s="81"/>
      <c r="R130" s="93"/>
      <c r="S130" s="93"/>
      <c r="T130" s="93"/>
      <c r="U130" s="93"/>
      <c r="V130" s="52"/>
      <c r="W130" s="52"/>
      <c r="X130" s="52"/>
      <c r="Y130" s="52"/>
      <c r="Z130" s="51"/>
      <c r="AA130" s="76"/>
      <c r="AB130" s="76"/>
      <c r="AC130" s="77"/>
      <c r="AD130" s="83" t="s">
        <v>1956</v>
      </c>
      <c r="AE130" s="91" t="s">
        <v>2222</v>
      </c>
      <c r="AF130" s="83">
        <v>0</v>
      </c>
      <c r="AG130" s="83">
        <v>68</v>
      </c>
      <c r="AH130" s="83">
        <v>8041</v>
      </c>
      <c r="AI130" s="83">
        <v>3257</v>
      </c>
      <c r="AJ130" s="83"/>
      <c r="AK130" s="83" t="s">
        <v>2485</v>
      </c>
      <c r="AL130" s="83" t="s">
        <v>2720</v>
      </c>
      <c r="AM130" s="88" t="str">
        <f>HYPERLINK("https://t.co/26ZolTzeuW")</f>
        <v>https://t.co/26ZolTzeuW</v>
      </c>
      <c r="AN130" s="83"/>
      <c r="AO130" s="85">
        <v>40626.629131944443</v>
      </c>
      <c r="AP130" s="88" t="str">
        <f>HYPERLINK("https://pbs.twimg.com/profile_banners/271458650/1527063711")</f>
        <v>https://pbs.twimg.com/profile_banners/271458650/1527063711</v>
      </c>
      <c r="AQ130" s="83" t="b">
        <v>0</v>
      </c>
      <c r="AR130" s="83" t="b">
        <v>0</v>
      </c>
      <c r="AS130" s="83" t="b">
        <v>0</v>
      </c>
      <c r="AT130" s="83"/>
      <c r="AU130" s="83">
        <v>27</v>
      </c>
      <c r="AV130" s="88" t="str">
        <f>HYPERLINK("http://abs.twimg.com/images/themes/theme1/bg.png")</f>
        <v>http://abs.twimg.com/images/themes/theme1/bg.png</v>
      </c>
      <c r="AW130" s="83" t="b">
        <v>0</v>
      </c>
      <c r="AX130" s="83" t="s">
        <v>2807</v>
      </c>
      <c r="AY130" s="88" t="str">
        <f>HYPERLINK("https://twitter.com/yuckf0u")</f>
        <v>https://twitter.com/yuckf0u</v>
      </c>
      <c r="AZ130" s="83" t="s">
        <v>66</v>
      </c>
      <c r="BA130" s="2"/>
      <c r="BB130" s="3"/>
      <c r="BC130" s="3"/>
      <c r="BD130" s="3"/>
      <c r="BE130" s="3"/>
    </row>
    <row r="131" spans="1:57" x14ac:dyDescent="0.2">
      <c r="A131" s="69" t="s">
        <v>477</v>
      </c>
      <c r="B131" s="70"/>
      <c r="C131" s="70"/>
      <c r="D131" s="71"/>
      <c r="E131" s="73"/>
      <c r="F131" s="109" t="str">
        <f>HYPERLINK("http://pbs.twimg.com/profile_images/1224404888186163200/rdzi15CM_normal.jpg")</f>
        <v>http://pbs.twimg.com/profile_images/1224404888186163200/rdzi15CM_normal.jpg</v>
      </c>
      <c r="G131" s="70"/>
      <c r="H131" s="74"/>
      <c r="I131" s="75"/>
      <c r="J131" s="75"/>
      <c r="K131" s="74" t="s">
        <v>2935</v>
      </c>
      <c r="L131" s="78"/>
      <c r="M131" s="79"/>
      <c r="N131" s="79"/>
      <c r="O131" s="80"/>
      <c r="P131" s="81"/>
      <c r="Q131" s="81"/>
      <c r="R131" s="93"/>
      <c r="S131" s="93"/>
      <c r="T131" s="93"/>
      <c r="U131" s="93"/>
      <c r="V131" s="52"/>
      <c r="W131" s="52"/>
      <c r="X131" s="52"/>
      <c r="Y131" s="52"/>
      <c r="Z131" s="51"/>
      <c r="AA131" s="76"/>
      <c r="AB131" s="76"/>
      <c r="AC131" s="77"/>
      <c r="AD131" s="83" t="s">
        <v>1957</v>
      </c>
      <c r="AE131" s="91" t="s">
        <v>1735</v>
      </c>
      <c r="AF131" s="83">
        <v>972</v>
      </c>
      <c r="AG131" s="83">
        <v>282</v>
      </c>
      <c r="AH131" s="83">
        <v>8101</v>
      </c>
      <c r="AI131" s="83">
        <v>13245</v>
      </c>
      <c r="AJ131" s="83"/>
      <c r="AK131" s="83" t="s">
        <v>2486</v>
      </c>
      <c r="AL131" s="83" t="s">
        <v>2721</v>
      </c>
      <c r="AM131" s="83"/>
      <c r="AN131" s="83"/>
      <c r="AO131" s="85">
        <v>40038.530624999999</v>
      </c>
      <c r="AP131" s="88" t="str">
        <f>HYPERLINK("https://pbs.twimg.com/profile_banners/65353609/1594501805")</f>
        <v>https://pbs.twimg.com/profile_banners/65353609/1594501805</v>
      </c>
      <c r="AQ131" s="83" t="b">
        <v>0</v>
      </c>
      <c r="AR131" s="83" t="b">
        <v>0</v>
      </c>
      <c r="AS131" s="83" t="b">
        <v>0</v>
      </c>
      <c r="AT131" s="83"/>
      <c r="AU131" s="83">
        <v>7</v>
      </c>
      <c r="AV131" s="88" t="str">
        <f>HYPERLINK("http://abs.twimg.com/images/themes/theme6/bg.gif")</f>
        <v>http://abs.twimg.com/images/themes/theme6/bg.gif</v>
      </c>
      <c r="AW131" s="83" t="b">
        <v>0</v>
      </c>
      <c r="AX131" s="83" t="s">
        <v>2807</v>
      </c>
      <c r="AY131" s="88" t="str">
        <f>HYPERLINK("https://twitter.com/amberwb")</f>
        <v>https://twitter.com/amberwb</v>
      </c>
      <c r="AZ131" s="83" t="s">
        <v>65</v>
      </c>
      <c r="BA131" s="2"/>
      <c r="BB131" s="3"/>
      <c r="BC131" s="3"/>
      <c r="BD131" s="3"/>
      <c r="BE131" s="3"/>
    </row>
    <row r="132" spans="1:57" x14ac:dyDescent="0.2">
      <c r="A132" s="69" t="s">
        <v>326</v>
      </c>
      <c r="B132" s="70"/>
      <c r="C132" s="70"/>
      <c r="D132" s="71"/>
      <c r="E132" s="73"/>
      <c r="F132" s="109" t="str">
        <f>HYPERLINK("http://pbs.twimg.com/profile_images/865194704484225025/Cjg2ozdu_normal.jpg")</f>
        <v>http://pbs.twimg.com/profile_images/865194704484225025/Cjg2ozdu_normal.jpg</v>
      </c>
      <c r="G132" s="70"/>
      <c r="H132" s="74"/>
      <c r="I132" s="75"/>
      <c r="J132" s="75"/>
      <c r="K132" s="74" t="s">
        <v>2936</v>
      </c>
      <c r="L132" s="78"/>
      <c r="M132" s="79"/>
      <c r="N132" s="79"/>
      <c r="O132" s="80"/>
      <c r="P132" s="81"/>
      <c r="Q132" s="81"/>
      <c r="R132" s="93"/>
      <c r="S132" s="93"/>
      <c r="T132" s="93"/>
      <c r="U132" s="93"/>
      <c r="V132" s="52"/>
      <c r="W132" s="52"/>
      <c r="X132" s="52"/>
      <c r="Y132" s="52"/>
      <c r="Z132" s="51"/>
      <c r="AA132" s="76"/>
      <c r="AB132" s="76"/>
      <c r="AC132" s="77"/>
      <c r="AD132" s="83" t="s">
        <v>1958</v>
      </c>
      <c r="AE132" s="91" t="s">
        <v>2223</v>
      </c>
      <c r="AF132" s="83">
        <v>963</v>
      </c>
      <c r="AG132" s="83">
        <v>559</v>
      </c>
      <c r="AH132" s="83">
        <v>25477</v>
      </c>
      <c r="AI132" s="83">
        <v>33773</v>
      </c>
      <c r="AJ132" s="83"/>
      <c r="AK132" s="83" t="s">
        <v>2487</v>
      </c>
      <c r="AL132" s="83"/>
      <c r="AM132" s="83"/>
      <c r="AN132" s="83"/>
      <c r="AO132" s="85">
        <v>41697.190162037034</v>
      </c>
      <c r="AP132" s="88" t="str">
        <f>HYPERLINK("https://pbs.twimg.com/profile_banners/2368261492/1443239052")</f>
        <v>https://pbs.twimg.com/profile_banners/2368261492/1443239052</v>
      </c>
      <c r="AQ132" s="83" t="b">
        <v>1</v>
      </c>
      <c r="AR132" s="83" t="b">
        <v>0</v>
      </c>
      <c r="AS132" s="83" t="b">
        <v>1</v>
      </c>
      <c r="AT132" s="83"/>
      <c r="AU132" s="83">
        <v>6</v>
      </c>
      <c r="AV132" s="88" t="str">
        <f>HYPERLINK("http://abs.twimg.com/images/themes/theme1/bg.png")</f>
        <v>http://abs.twimg.com/images/themes/theme1/bg.png</v>
      </c>
      <c r="AW132" s="83" t="b">
        <v>0</v>
      </c>
      <c r="AX132" s="83" t="s">
        <v>2807</v>
      </c>
      <c r="AY132" s="88" t="str">
        <f>HYPERLINK("https://twitter.com/posi4hope")</f>
        <v>https://twitter.com/posi4hope</v>
      </c>
      <c r="AZ132" s="83" t="s">
        <v>66</v>
      </c>
      <c r="BA132" s="2"/>
      <c r="BB132" s="3"/>
      <c r="BC132" s="3"/>
      <c r="BD132" s="3"/>
      <c r="BE132" s="3"/>
    </row>
    <row r="133" spans="1:57" x14ac:dyDescent="0.2">
      <c r="A133" s="69" t="s">
        <v>327</v>
      </c>
      <c r="B133" s="70"/>
      <c r="C133" s="70"/>
      <c r="D133" s="71"/>
      <c r="E133" s="73"/>
      <c r="F133" s="109" t="str">
        <f>HYPERLINK("http://pbs.twimg.com/profile_images/969690957611458560/-H1SnPlF_normal.jpg")</f>
        <v>http://pbs.twimg.com/profile_images/969690957611458560/-H1SnPlF_normal.jpg</v>
      </c>
      <c r="G133" s="70"/>
      <c r="H133" s="74"/>
      <c r="I133" s="75"/>
      <c r="J133" s="75"/>
      <c r="K133" s="74" t="s">
        <v>2937</v>
      </c>
      <c r="L133" s="78"/>
      <c r="M133" s="79"/>
      <c r="N133" s="79"/>
      <c r="O133" s="80"/>
      <c r="P133" s="81"/>
      <c r="Q133" s="81"/>
      <c r="R133" s="93"/>
      <c r="S133" s="93"/>
      <c r="T133" s="93"/>
      <c r="U133" s="93"/>
      <c r="V133" s="52"/>
      <c r="W133" s="52"/>
      <c r="X133" s="52"/>
      <c r="Y133" s="52"/>
      <c r="Z133" s="51"/>
      <c r="AA133" s="76"/>
      <c r="AB133" s="76"/>
      <c r="AC133" s="77"/>
      <c r="AD133" s="83" t="s">
        <v>1959</v>
      </c>
      <c r="AE133" s="91" t="s">
        <v>2224</v>
      </c>
      <c r="AF133" s="83">
        <v>327</v>
      </c>
      <c r="AG133" s="83">
        <v>233</v>
      </c>
      <c r="AH133" s="83">
        <v>9054</v>
      </c>
      <c r="AI133" s="83">
        <v>7443</v>
      </c>
      <c r="AJ133" s="83"/>
      <c r="AK133" s="83" t="s">
        <v>2488</v>
      </c>
      <c r="AL133" s="83" t="s">
        <v>2722</v>
      </c>
      <c r="AM133" s="83"/>
      <c r="AN133" s="83"/>
      <c r="AO133" s="85">
        <v>40600.081747685188</v>
      </c>
      <c r="AP133" s="83"/>
      <c r="AQ133" s="83" t="b">
        <v>0</v>
      </c>
      <c r="AR133" s="83" t="b">
        <v>0</v>
      </c>
      <c r="AS133" s="83" t="b">
        <v>1</v>
      </c>
      <c r="AT133" s="83"/>
      <c r="AU133" s="83">
        <v>55</v>
      </c>
      <c r="AV133" s="88" t="str">
        <f>HYPERLINK("http://abs.twimg.com/images/themes/theme13/bg.gif")</f>
        <v>http://abs.twimg.com/images/themes/theme13/bg.gif</v>
      </c>
      <c r="AW133" s="83" t="b">
        <v>0</v>
      </c>
      <c r="AX133" s="83" t="s">
        <v>2807</v>
      </c>
      <c r="AY133" s="88" t="str">
        <f>HYPERLINK("https://twitter.com/mmthornberg")</f>
        <v>https://twitter.com/mmthornberg</v>
      </c>
      <c r="AZ133" s="83" t="s">
        <v>66</v>
      </c>
      <c r="BA133" s="2"/>
      <c r="BB133" s="3"/>
      <c r="BC133" s="3"/>
      <c r="BD133" s="3"/>
      <c r="BE133" s="3"/>
    </row>
    <row r="134" spans="1:57" x14ac:dyDescent="0.2">
      <c r="A134" s="69" t="s">
        <v>328</v>
      </c>
      <c r="B134" s="70"/>
      <c r="C134" s="70"/>
      <c r="D134" s="71"/>
      <c r="E134" s="73"/>
      <c r="F134" s="109" t="str">
        <f>HYPERLINK("http://pbs.twimg.com/profile_images/1266603468099391488/Vu2g6Nby_normal.jpg")</f>
        <v>http://pbs.twimg.com/profile_images/1266603468099391488/Vu2g6Nby_normal.jpg</v>
      </c>
      <c r="G134" s="70"/>
      <c r="H134" s="74"/>
      <c r="I134" s="75"/>
      <c r="J134" s="75"/>
      <c r="K134" s="74" t="s">
        <v>2938</v>
      </c>
      <c r="L134" s="78"/>
      <c r="M134" s="79"/>
      <c r="N134" s="79"/>
      <c r="O134" s="80"/>
      <c r="P134" s="81"/>
      <c r="Q134" s="81"/>
      <c r="R134" s="93"/>
      <c r="S134" s="93"/>
      <c r="T134" s="93"/>
      <c r="U134" s="93"/>
      <c r="V134" s="52"/>
      <c r="W134" s="52"/>
      <c r="X134" s="52"/>
      <c r="Y134" s="52"/>
      <c r="Z134" s="51"/>
      <c r="AA134" s="76"/>
      <c r="AB134" s="76"/>
      <c r="AC134" s="77"/>
      <c r="AD134" s="83" t="s">
        <v>1960</v>
      </c>
      <c r="AE134" s="91" t="s">
        <v>2225</v>
      </c>
      <c r="AF134" s="83">
        <v>75</v>
      </c>
      <c r="AG134" s="83">
        <v>9</v>
      </c>
      <c r="AH134" s="83">
        <v>107</v>
      </c>
      <c r="AI134" s="83">
        <v>160</v>
      </c>
      <c r="AJ134" s="83"/>
      <c r="AK134" s="83" t="s">
        <v>2489</v>
      </c>
      <c r="AL134" s="83"/>
      <c r="AM134" s="88" t="str">
        <f>HYPERLINK("https://t.co/Vfm34jQb6M")</f>
        <v>https://t.co/Vfm34jQb6M</v>
      </c>
      <c r="AN134" s="83"/>
      <c r="AO134" s="85">
        <v>43981.18041666667</v>
      </c>
      <c r="AP134" s="88" t="str">
        <f>HYPERLINK("https://pbs.twimg.com/profile_banners/1266585012641685504/1590886687")</f>
        <v>https://pbs.twimg.com/profile_banners/1266585012641685504/1590886687</v>
      </c>
      <c r="AQ134" s="83" t="b">
        <v>1</v>
      </c>
      <c r="AR134" s="83" t="b">
        <v>0</v>
      </c>
      <c r="AS134" s="83" t="b">
        <v>0</v>
      </c>
      <c r="AT134" s="83"/>
      <c r="AU134" s="83">
        <v>0</v>
      </c>
      <c r="AV134" s="83"/>
      <c r="AW134" s="83" t="b">
        <v>0</v>
      </c>
      <c r="AX134" s="83" t="s">
        <v>2807</v>
      </c>
      <c r="AY134" s="88" t="str">
        <f>HYPERLINK("https://twitter.com/halhubener")</f>
        <v>https://twitter.com/halhubener</v>
      </c>
      <c r="AZ134" s="83" t="s">
        <v>66</v>
      </c>
      <c r="BA134" s="2"/>
      <c r="BB134" s="3"/>
      <c r="BC134" s="3"/>
      <c r="BD134" s="3"/>
      <c r="BE134" s="3"/>
    </row>
    <row r="135" spans="1:57" x14ac:dyDescent="0.2">
      <c r="A135" s="69" t="s">
        <v>329</v>
      </c>
      <c r="B135" s="70"/>
      <c r="C135" s="70"/>
      <c r="D135" s="71"/>
      <c r="E135" s="73"/>
      <c r="F135" s="109" t="str">
        <f>HYPERLINK("http://pbs.twimg.com/profile_images/56161983/img_normal.jpg")</f>
        <v>http://pbs.twimg.com/profile_images/56161983/img_normal.jpg</v>
      </c>
      <c r="G135" s="70"/>
      <c r="H135" s="74"/>
      <c r="I135" s="75"/>
      <c r="J135" s="75"/>
      <c r="K135" s="74" t="s">
        <v>2939</v>
      </c>
      <c r="L135" s="78"/>
      <c r="M135" s="79"/>
      <c r="N135" s="79"/>
      <c r="O135" s="80"/>
      <c r="P135" s="81"/>
      <c r="Q135" s="81"/>
      <c r="R135" s="93"/>
      <c r="S135" s="93"/>
      <c r="T135" s="93"/>
      <c r="U135" s="93"/>
      <c r="V135" s="52"/>
      <c r="W135" s="52"/>
      <c r="X135" s="52"/>
      <c r="Y135" s="52"/>
      <c r="Z135" s="51"/>
      <c r="AA135" s="76"/>
      <c r="AB135" s="76"/>
      <c r="AC135" s="77"/>
      <c r="AD135" s="83" t="s">
        <v>1961</v>
      </c>
      <c r="AE135" s="91" t="s">
        <v>2226</v>
      </c>
      <c r="AF135" s="83">
        <v>2072</v>
      </c>
      <c r="AG135" s="83">
        <v>1460</v>
      </c>
      <c r="AH135" s="83">
        <v>40915</v>
      </c>
      <c r="AI135" s="83">
        <v>24831</v>
      </c>
      <c r="AJ135" s="83"/>
      <c r="AK135" s="83" t="s">
        <v>2490</v>
      </c>
      <c r="AL135" s="83"/>
      <c r="AM135" s="83"/>
      <c r="AN135" s="83"/>
      <c r="AO135" s="85">
        <v>39631.267152777778</v>
      </c>
      <c r="AP135" s="83"/>
      <c r="AQ135" s="83" t="b">
        <v>1</v>
      </c>
      <c r="AR135" s="83" t="b">
        <v>0</v>
      </c>
      <c r="AS135" s="83" t="b">
        <v>1</v>
      </c>
      <c r="AT135" s="83"/>
      <c r="AU135" s="83">
        <v>38</v>
      </c>
      <c r="AV135" s="88" t="str">
        <f>HYPERLINK("http://abs.twimg.com/images/themes/theme1/bg.png")</f>
        <v>http://abs.twimg.com/images/themes/theme1/bg.png</v>
      </c>
      <c r="AW135" s="83" t="b">
        <v>0</v>
      </c>
      <c r="AX135" s="83" t="s">
        <v>2807</v>
      </c>
      <c r="AY135" s="88" t="str">
        <f>HYPERLINK("https://twitter.com/jeanluc_picachu")</f>
        <v>https://twitter.com/jeanluc_picachu</v>
      </c>
      <c r="AZ135" s="83" t="s">
        <v>66</v>
      </c>
      <c r="BA135" s="2"/>
      <c r="BB135" s="3"/>
      <c r="BC135" s="3"/>
      <c r="BD135" s="3"/>
      <c r="BE135" s="3"/>
    </row>
    <row r="136" spans="1:57" x14ac:dyDescent="0.2">
      <c r="A136" s="69" t="s">
        <v>330</v>
      </c>
      <c r="B136" s="70"/>
      <c r="C136" s="70"/>
      <c r="D136" s="71"/>
      <c r="E136" s="73"/>
      <c r="F136" s="109" t="str">
        <f>HYPERLINK("http://pbs.twimg.com/profile_images/1242118835479678976/cuFajaKO_normal.jpg")</f>
        <v>http://pbs.twimg.com/profile_images/1242118835479678976/cuFajaKO_normal.jpg</v>
      </c>
      <c r="G136" s="70"/>
      <c r="H136" s="74"/>
      <c r="I136" s="75"/>
      <c r="J136" s="75"/>
      <c r="K136" s="74" t="s">
        <v>2940</v>
      </c>
      <c r="L136" s="78"/>
      <c r="M136" s="79"/>
      <c r="N136" s="79"/>
      <c r="O136" s="80"/>
      <c r="P136" s="81"/>
      <c r="Q136" s="81"/>
      <c r="R136" s="93"/>
      <c r="S136" s="93"/>
      <c r="T136" s="93"/>
      <c r="U136" s="93"/>
      <c r="V136" s="52"/>
      <c r="W136" s="52"/>
      <c r="X136" s="52"/>
      <c r="Y136" s="52"/>
      <c r="Z136" s="51"/>
      <c r="AA136" s="76"/>
      <c r="AB136" s="76"/>
      <c r="AC136" s="77"/>
      <c r="AD136" s="83" t="s">
        <v>1962</v>
      </c>
      <c r="AE136" s="91" t="s">
        <v>2227</v>
      </c>
      <c r="AF136" s="83">
        <v>66</v>
      </c>
      <c r="AG136" s="83">
        <v>2</v>
      </c>
      <c r="AH136" s="83">
        <v>291</v>
      </c>
      <c r="AI136" s="83">
        <v>413</v>
      </c>
      <c r="AJ136" s="83"/>
      <c r="AK136" s="83" t="s">
        <v>2491</v>
      </c>
      <c r="AL136" s="83"/>
      <c r="AM136" s="83"/>
      <c r="AN136" s="83"/>
      <c r="AO136" s="85">
        <v>43913.666226851848</v>
      </c>
      <c r="AP136" s="83"/>
      <c r="AQ136" s="83" t="b">
        <v>1</v>
      </c>
      <c r="AR136" s="83" t="b">
        <v>0</v>
      </c>
      <c r="AS136" s="83" t="b">
        <v>0</v>
      </c>
      <c r="AT136" s="83"/>
      <c r="AU136" s="83">
        <v>0</v>
      </c>
      <c r="AV136" s="83"/>
      <c r="AW136" s="83" t="b">
        <v>0</v>
      </c>
      <c r="AX136" s="83" t="s">
        <v>2807</v>
      </c>
      <c r="AY136" s="88" t="str">
        <f>HYPERLINK("https://twitter.com/diazed6")</f>
        <v>https://twitter.com/diazed6</v>
      </c>
      <c r="AZ136" s="83" t="s">
        <v>66</v>
      </c>
      <c r="BA136" s="2"/>
      <c r="BB136" s="3"/>
      <c r="BC136" s="3"/>
      <c r="BD136" s="3"/>
      <c r="BE136" s="3"/>
    </row>
    <row r="137" spans="1:57" x14ac:dyDescent="0.2">
      <c r="A137" s="69" t="s">
        <v>331</v>
      </c>
      <c r="B137" s="70"/>
      <c r="C137" s="70"/>
      <c r="D137" s="71"/>
      <c r="E137" s="73"/>
      <c r="F137" s="109" t="str">
        <f>HYPERLINK("http://pbs.twimg.com/profile_images/651573498847055872/h_zcvKvV_normal.jpg")</f>
        <v>http://pbs.twimg.com/profile_images/651573498847055872/h_zcvKvV_normal.jpg</v>
      </c>
      <c r="G137" s="70"/>
      <c r="H137" s="74"/>
      <c r="I137" s="75"/>
      <c r="J137" s="75"/>
      <c r="K137" s="74" t="s">
        <v>2941</v>
      </c>
      <c r="L137" s="78"/>
      <c r="M137" s="79"/>
      <c r="N137" s="79"/>
      <c r="O137" s="80"/>
      <c r="P137" s="81"/>
      <c r="Q137" s="81"/>
      <c r="R137" s="93"/>
      <c r="S137" s="93"/>
      <c r="T137" s="93"/>
      <c r="U137" s="93"/>
      <c r="V137" s="52"/>
      <c r="W137" s="52"/>
      <c r="X137" s="52"/>
      <c r="Y137" s="52"/>
      <c r="Z137" s="51"/>
      <c r="AA137" s="76"/>
      <c r="AB137" s="76"/>
      <c r="AC137" s="77"/>
      <c r="AD137" s="83" t="s">
        <v>1963</v>
      </c>
      <c r="AE137" s="91" t="s">
        <v>2228</v>
      </c>
      <c r="AF137" s="83">
        <v>2107</v>
      </c>
      <c r="AG137" s="83">
        <v>2676</v>
      </c>
      <c r="AH137" s="83">
        <v>22393</v>
      </c>
      <c r="AI137" s="83">
        <v>1916</v>
      </c>
      <c r="AJ137" s="83"/>
      <c r="AK137" s="83" t="s">
        <v>2492</v>
      </c>
      <c r="AL137" s="83" t="s">
        <v>2723</v>
      </c>
      <c r="AM137" s="88" t="str">
        <f>HYPERLINK("https://t.co/hARF5pIwjH")</f>
        <v>https://t.co/hARF5pIwjH</v>
      </c>
      <c r="AN137" s="83"/>
      <c r="AO137" s="85">
        <v>41124.925370370373</v>
      </c>
      <c r="AP137" s="88" t="str">
        <f>HYPERLINK("https://pbs.twimg.com/profile_banners/735627110/1591385856")</f>
        <v>https://pbs.twimg.com/profile_banners/735627110/1591385856</v>
      </c>
      <c r="AQ137" s="83" t="b">
        <v>0</v>
      </c>
      <c r="AR137" s="83" t="b">
        <v>0</v>
      </c>
      <c r="AS137" s="83" t="b">
        <v>1</v>
      </c>
      <c r="AT137" s="83"/>
      <c r="AU137" s="83">
        <v>46</v>
      </c>
      <c r="AV137" s="88" t="str">
        <f>HYPERLINK("http://abs.twimg.com/images/themes/theme14/bg.gif")</f>
        <v>http://abs.twimg.com/images/themes/theme14/bg.gif</v>
      </c>
      <c r="AW137" s="83" t="b">
        <v>0</v>
      </c>
      <c r="AX137" s="83" t="s">
        <v>2807</v>
      </c>
      <c r="AY137" s="88" t="str">
        <f>HYPERLINK("https://twitter.com/artxfm")</f>
        <v>https://twitter.com/artxfm</v>
      </c>
      <c r="AZ137" s="83" t="s">
        <v>66</v>
      </c>
      <c r="BA137" s="2"/>
      <c r="BB137" s="3"/>
      <c r="BC137" s="3"/>
      <c r="BD137" s="3"/>
      <c r="BE137" s="3"/>
    </row>
    <row r="138" spans="1:57" x14ac:dyDescent="0.2">
      <c r="A138" s="69" t="s">
        <v>332</v>
      </c>
      <c r="B138" s="70"/>
      <c r="C138" s="70"/>
      <c r="D138" s="71"/>
      <c r="E138" s="73"/>
      <c r="F138" s="109" t="str">
        <f>HYPERLINK("http://pbs.twimg.com/profile_images/1215465035549462528/5I-RoR8__normal.jpg")</f>
        <v>http://pbs.twimg.com/profile_images/1215465035549462528/5I-RoR8__normal.jpg</v>
      </c>
      <c r="G138" s="70"/>
      <c r="H138" s="74"/>
      <c r="I138" s="75"/>
      <c r="J138" s="75"/>
      <c r="K138" s="74" t="s">
        <v>2942</v>
      </c>
      <c r="L138" s="78"/>
      <c r="M138" s="79"/>
      <c r="N138" s="79"/>
      <c r="O138" s="80"/>
      <c r="P138" s="81"/>
      <c r="Q138" s="81"/>
      <c r="R138" s="93"/>
      <c r="S138" s="93"/>
      <c r="T138" s="93"/>
      <c r="U138" s="93"/>
      <c r="V138" s="52"/>
      <c r="W138" s="52"/>
      <c r="X138" s="52"/>
      <c r="Y138" s="52"/>
      <c r="Z138" s="51"/>
      <c r="AA138" s="76"/>
      <c r="AB138" s="76"/>
      <c r="AC138" s="77"/>
      <c r="AD138" s="83" t="s">
        <v>1964</v>
      </c>
      <c r="AE138" s="91" t="s">
        <v>2229</v>
      </c>
      <c r="AF138" s="83">
        <v>1567</v>
      </c>
      <c r="AG138" s="83">
        <v>314</v>
      </c>
      <c r="AH138" s="83">
        <v>5913</v>
      </c>
      <c r="AI138" s="83">
        <v>54167</v>
      </c>
      <c r="AJ138" s="83"/>
      <c r="AK138" s="83" t="s">
        <v>2493</v>
      </c>
      <c r="AL138" s="83"/>
      <c r="AM138" s="83"/>
      <c r="AN138" s="83"/>
      <c r="AO138" s="85">
        <v>41650.814317129632</v>
      </c>
      <c r="AP138" s="88" t="str">
        <f>HYPERLINK("https://pbs.twimg.com/profile_banners/2287094119/1575071469")</f>
        <v>https://pbs.twimg.com/profile_banners/2287094119/1575071469</v>
      </c>
      <c r="AQ138" s="83" t="b">
        <v>1</v>
      </c>
      <c r="AR138" s="83" t="b">
        <v>0</v>
      </c>
      <c r="AS138" s="83" t="b">
        <v>0</v>
      </c>
      <c r="AT138" s="83"/>
      <c r="AU138" s="83">
        <v>2</v>
      </c>
      <c r="AV138" s="88" t="str">
        <f>HYPERLINK("http://abs.twimg.com/images/themes/theme1/bg.png")</f>
        <v>http://abs.twimg.com/images/themes/theme1/bg.png</v>
      </c>
      <c r="AW138" s="83" t="b">
        <v>0</v>
      </c>
      <c r="AX138" s="83" t="s">
        <v>2807</v>
      </c>
      <c r="AY138" s="88" t="str">
        <f>HYPERLINK("https://twitter.com/dj_hunchback_")</f>
        <v>https://twitter.com/dj_hunchback_</v>
      </c>
      <c r="AZ138" s="83" t="s">
        <v>66</v>
      </c>
      <c r="BA138" s="2"/>
      <c r="BB138" s="3"/>
      <c r="BC138" s="3"/>
      <c r="BD138" s="3"/>
      <c r="BE138" s="3"/>
    </row>
    <row r="139" spans="1:57" x14ac:dyDescent="0.2">
      <c r="A139" s="69" t="s">
        <v>333</v>
      </c>
      <c r="B139" s="70"/>
      <c r="C139" s="70"/>
      <c r="D139" s="71"/>
      <c r="E139" s="73"/>
      <c r="F139" s="109" t="str">
        <f>HYPERLINK("http://pbs.twimg.com/profile_images/344513261566681642/f7dca8e508459cc3693fbccbb0aedad3_normal.jpeg")</f>
        <v>http://pbs.twimg.com/profile_images/344513261566681642/f7dca8e508459cc3693fbccbb0aedad3_normal.jpeg</v>
      </c>
      <c r="G139" s="70"/>
      <c r="H139" s="74"/>
      <c r="I139" s="75"/>
      <c r="J139" s="75"/>
      <c r="K139" s="74" t="s">
        <v>2943</v>
      </c>
      <c r="L139" s="78"/>
      <c r="M139" s="79"/>
      <c r="N139" s="79"/>
      <c r="O139" s="80"/>
      <c r="P139" s="81"/>
      <c r="Q139" s="81"/>
      <c r="R139" s="93"/>
      <c r="S139" s="93"/>
      <c r="T139" s="93"/>
      <c r="U139" s="93"/>
      <c r="V139" s="52"/>
      <c r="W139" s="52"/>
      <c r="X139" s="52"/>
      <c r="Y139" s="52"/>
      <c r="Z139" s="51"/>
      <c r="AA139" s="76"/>
      <c r="AB139" s="76"/>
      <c r="AC139" s="77"/>
      <c r="AD139" s="83" t="s">
        <v>1965</v>
      </c>
      <c r="AE139" s="91" t="s">
        <v>2230</v>
      </c>
      <c r="AF139" s="83">
        <v>124</v>
      </c>
      <c r="AG139" s="83">
        <v>172</v>
      </c>
      <c r="AH139" s="83">
        <v>1461</v>
      </c>
      <c r="AI139" s="83">
        <v>1884</v>
      </c>
      <c r="AJ139" s="83"/>
      <c r="AK139" s="83" t="s">
        <v>2494</v>
      </c>
      <c r="AL139" s="83" t="s">
        <v>2724</v>
      </c>
      <c r="AM139" s="88" t="str">
        <f>HYPERLINK("https://t.co/hARF5pIwjH")</f>
        <v>https://t.co/hARF5pIwjH</v>
      </c>
      <c r="AN139" s="83"/>
      <c r="AO139" s="85">
        <v>40847.164722222224</v>
      </c>
      <c r="AP139" s="88" t="str">
        <f>HYPERLINK("https://pbs.twimg.com/profile_banners/401815692/1353289873")</f>
        <v>https://pbs.twimg.com/profile_banners/401815692/1353289873</v>
      </c>
      <c r="AQ139" s="83" t="b">
        <v>0</v>
      </c>
      <c r="AR139" s="83" t="b">
        <v>0</v>
      </c>
      <c r="AS139" s="83" t="b">
        <v>1</v>
      </c>
      <c r="AT139" s="83"/>
      <c r="AU139" s="83">
        <v>3</v>
      </c>
      <c r="AV139" s="88" t="str">
        <f>HYPERLINK("http://abs.twimg.com/images/themes/theme13/bg.gif")</f>
        <v>http://abs.twimg.com/images/themes/theme13/bg.gif</v>
      </c>
      <c r="AW139" s="83" t="b">
        <v>0</v>
      </c>
      <c r="AX139" s="83" t="s">
        <v>2807</v>
      </c>
      <c r="AY139" s="88" t="str">
        <f>HYPERLINK("https://twitter.com/solarflightowl")</f>
        <v>https://twitter.com/solarflightowl</v>
      </c>
      <c r="AZ139" s="83" t="s">
        <v>66</v>
      </c>
      <c r="BA139" s="2"/>
      <c r="BB139" s="3"/>
      <c r="BC139" s="3"/>
      <c r="BD139" s="3"/>
      <c r="BE139" s="3"/>
    </row>
    <row r="140" spans="1:57" x14ac:dyDescent="0.2">
      <c r="A140" s="69" t="s">
        <v>334</v>
      </c>
      <c r="B140" s="70"/>
      <c r="C140" s="70"/>
      <c r="D140" s="71"/>
      <c r="E140" s="73"/>
      <c r="F140" s="109" t="str">
        <f>HYPERLINK("http://pbs.twimg.com/profile_images/1248241117377646593/NN7tnr_7_normal.jpg")</f>
        <v>http://pbs.twimg.com/profile_images/1248241117377646593/NN7tnr_7_normal.jpg</v>
      </c>
      <c r="G140" s="70"/>
      <c r="H140" s="74"/>
      <c r="I140" s="75"/>
      <c r="J140" s="75"/>
      <c r="K140" s="74" t="s">
        <v>2944</v>
      </c>
      <c r="L140" s="78"/>
      <c r="M140" s="79"/>
      <c r="N140" s="79"/>
      <c r="O140" s="80"/>
      <c r="P140" s="81"/>
      <c r="Q140" s="81"/>
      <c r="R140" s="93"/>
      <c r="S140" s="93"/>
      <c r="T140" s="93"/>
      <c r="U140" s="93"/>
      <c r="V140" s="52"/>
      <c r="W140" s="52"/>
      <c r="X140" s="52"/>
      <c r="Y140" s="52"/>
      <c r="Z140" s="51"/>
      <c r="AA140" s="76"/>
      <c r="AB140" s="76"/>
      <c r="AC140" s="77"/>
      <c r="AD140" s="83" t="s">
        <v>1966</v>
      </c>
      <c r="AE140" s="91" t="s">
        <v>2231</v>
      </c>
      <c r="AF140" s="83">
        <v>149</v>
      </c>
      <c r="AG140" s="83">
        <v>40</v>
      </c>
      <c r="AH140" s="83">
        <v>63</v>
      </c>
      <c r="AI140" s="83">
        <v>497</v>
      </c>
      <c r="AJ140" s="83"/>
      <c r="AK140" s="83" t="s">
        <v>2495</v>
      </c>
      <c r="AL140" s="83"/>
      <c r="AM140" s="88" t="str">
        <f>HYPERLINK("https://t.co/UxKtcnPtEp")</f>
        <v>https://t.co/UxKtcnPtEp</v>
      </c>
      <c r="AN140" s="83"/>
      <c r="AO140" s="85">
        <v>43605.755879629629</v>
      </c>
      <c r="AP140" s="88" t="str">
        <f>HYPERLINK("https://pbs.twimg.com/profile_banners/1130535777958617088/1561396925")</f>
        <v>https://pbs.twimg.com/profile_banners/1130535777958617088/1561396925</v>
      </c>
      <c r="AQ140" s="83" t="b">
        <v>1</v>
      </c>
      <c r="AR140" s="83" t="b">
        <v>0</v>
      </c>
      <c r="AS140" s="83" t="b">
        <v>0</v>
      </c>
      <c r="AT140" s="83"/>
      <c r="AU140" s="83">
        <v>0</v>
      </c>
      <c r="AV140" s="83"/>
      <c r="AW140" s="83" t="b">
        <v>0</v>
      </c>
      <c r="AX140" s="83" t="s">
        <v>2807</v>
      </c>
      <c r="AY140" s="88" t="str">
        <f>HYPERLINK("https://twitter.com/sandrucci54")</f>
        <v>https://twitter.com/sandrucci54</v>
      </c>
      <c r="AZ140" s="83" t="s">
        <v>66</v>
      </c>
      <c r="BA140" s="2"/>
      <c r="BB140" s="3"/>
      <c r="BC140" s="3"/>
      <c r="BD140" s="3"/>
      <c r="BE140" s="3"/>
    </row>
    <row r="141" spans="1:57" x14ac:dyDescent="0.2">
      <c r="A141" s="69" t="s">
        <v>335</v>
      </c>
      <c r="B141" s="70"/>
      <c r="C141" s="70"/>
      <c r="D141" s="71"/>
      <c r="E141" s="73"/>
      <c r="F141" s="109" t="str">
        <f>HYPERLINK("http://pbs.twimg.com/profile_images/1236153444987097088/1NgAQL_1_normal.jpg")</f>
        <v>http://pbs.twimg.com/profile_images/1236153444987097088/1NgAQL_1_normal.jpg</v>
      </c>
      <c r="G141" s="70"/>
      <c r="H141" s="74"/>
      <c r="I141" s="75"/>
      <c r="J141" s="75"/>
      <c r="K141" s="74" t="s">
        <v>2945</v>
      </c>
      <c r="L141" s="78"/>
      <c r="M141" s="79"/>
      <c r="N141" s="79"/>
      <c r="O141" s="80"/>
      <c r="P141" s="81"/>
      <c r="Q141" s="81"/>
      <c r="R141" s="93"/>
      <c r="S141" s="93"/>
      <c r="T141" s="93"/>
      <c r="U141" s="93"/>
      <c r="V141" s="52"/>
      <c r="W141" s="52"/>
      <c r="X141" s="52"/>
      <c r="Y141" s="52"/>
      <c r="Z141" s="51"/>
      <c r="AA141" s="76"/>
      <c r="AB141" s="76"/>
      <c r="AC141" s="77"/>
      <c r="AD141" s="83" t="s">
        <v>1967</v>
      </c>
      <c r="AE141" s="91" t="s">
        <v>2232</v>
      </c>
      <c r="AF141" s="83">
        <v>16</v>
      </c>
      <c r="AG141" s="83">
        <v>5</v>
      </c>
      <c r="AH141" s="83">
        <v>254</v>
      </c>
      <c r="AI141" s="83">
        <v>76</v>
      </c>
      <c r="AJ141" s="83"/>
      <c r="AK141" s="83" t="s">
        <v>2496</v>
      </c>
      <c r="AL141" s="83" t="s">
        <v>2648</v>
      </c>
      <c r="AM141" s="83"/>
      <c r="AN141" s="83"/>
      <c r="AO141" s="85">
        <v>43403.589456018519</v>
      </c>
      <c r="AP141" s="88" t="str">
        <f>HYPERLINK("https://pbs.twimg.com/profile_banners/1057273117293203456/1562774998")</f>
        <v>https://pbs.twimg.com/profile_banners/1057273117293203456/1562774998</v>
      </c>
      <c r="AQ141" s="83" t="b">
        <v>1</v>
      </c>
      <c r="AR141" s="83" t="b">
        <v>0</v>
      </c>
      <c r="AS141" s="83" t="b">
        <v>0</v>
      </c>
      <c r="AT141" s="83"/>
      <c r="AU141" s="83">
        <v>0</v>
      </c>
      <c r="AV141" s="83"/>
      <c r="AW141" s="83" t="b">
        <v>0</v>
      </c>
      <c r="AX141" s="83" t="s">
        <v>2807</v>
      </c>
      <c r="AY141" s="88" t="str">
        <f>HYPERLINK("https://twitter.com/haruhibipapa241")</f>
        <v>https://twitter.com/haruhibipapa241</v>
      </c>
      <c r="AZ141" s="83" t="s">
        <v>66</v>
      </c>
      <c r="BA141" s="2"/>
      <c r="BB141" s="3"/>
      <c r="BC141" s="3"/>
      <c r="BD141" s="3"/>
      <c r="BE141" s="3"/>
    </row>
    <row r="142" spans="1:57" x14ac:dyDescent="0.2">
      <c r="A142" s="69" t="s">
        <v>336</v>
      </c>
      <c r="B142" s="70"/>
      <c r="C142" s="70"/>
      <c r="D142" s="71"/>
      <c r="E142" s="73"/>
      <c r="F142" s="109" t="str">
        <f>HYPERLINK("http://pbs.twimg.com/profile_images/1080088302500413440/qNfBycCv_normal.jpg")</f>
        <v>http://pbs.twimg.com/profile_images/1080088302500413440/qNfBycCv_normal.jpg</v>
      </c>
      <c r="G142" s="70"/>
      <c r="H142" s="74"/>
      <c r="I142" s="75"/>
      <c r="J142" s="75"/>
      <c r="K142" s="74" t="s">
        <v>2946</v>
      </c>
      <c r="L142" s="78"/>
      <c r="M142" s="79"/>
      <c r="N142" s="79"/>
      <c r="O142" s="80"/>
      <c r="P142" s="81"/>
      <c r="Q142" s="81"/>
      <c r="R142" s="93"/>
      <c r="S142" s="93"/>
      <c r="T142" s="93"/>
      <c r="U142" s="93"/>
      <c r="V142" s="52"/>
      <c r="W142" s="52"/>
      <c r="X142" s="52"/>
      <c r="Y142" s="52"/>
      <c r="Z142" s="51"/>
      <c r="AA142" s="76"/>
      <c r="AB142" s="76"/>
      <c r="AC142" s="77"/>
      <c r="AD142" s="83" t="s">
        <v>1968</v>
      </c>
      <c r="AE142" s="91" t="s">
        <v>2233</v>
      </c>
      <c r="AF142" s="83">
        <v>41654</v>
      </c>
      <c r="AG142" s="83">
        <v>50190</v>
      </c>
      <c r="AH142" s="83">
        <v>481626</v>
      </c>
      <c r="AI142" s="83">
        <v>427503</v>
      </c>
      <c r="AJ142" s="83"/>
      <c r="AK142" s="83" t="s">
        <v>2497</v>
      </c>
      <c r="AL142" s="83" t="s">
        <v>2725</v>
      </c>
      <c r="AM142" s="88" t="str">
        <f>HYPERLINK("https://t.co/CbMkqXN0Ev")</f>
        <v>https://t.co/CbMkqXN0Ev</v>
      </c>
      <c r="AN142" s="83"/>
      <c r="AO142" s="85">
        <v>40843.995416666665</v>
      </c>
      <c r="AP142" s="88" t="str">
        <f>HYPERLINK("https://pbs.twimg.com/profile_banners/399745111/1573506330")</f>
        <v>https://pbs.twimg.com/profile_banners/399745111/1573506330</v>
      </c>
      <c r="AQ142" s="83" t="b">
        <v>0</v>
      </c>
      <c r="AR142" s="83" t="b">
        <v>0</v>
      </c>
      <c r="AS142" s="83" t="b">
        <v>1</v>
      </c>
      <c r="AT142" s="83"/>
      <c r="AU142" s="83">
        <v>3</v>
      </c>
      <c r="AV142" s="88" t="str">
        <f>HYPERLINK("http://abs.twimg.com/images/themes/theme1/bg.png")</f>
        <v>http://abs.twimg.com/images/themes/theme1/bg.png</v>
      </c>
      <c r="AW142" s="83" t="b">
        <v>0</v>
      </c>
      <c r="AX142" s="83" t="s">
        <v>2807</v>
      </c>
      <c r="AY142" s="88" t="str">
        <f>HYPERLINK("https://twitter.com/horseshort")</f>
        <v>https://twitter.com/horseshort</v>
      </c>
      <c r="AZ142" s="83" t="s">
        <v>66</v>
      </c>
      <c r="BA142" s="2"/>
      <c r="BB142" s="3"/>
      <c r="BC142" s="3"/>
      <c r="BD142" s="3"/>
      <c r="BE142" s="3"/>
    </row>
    <row r="143" spans="1:57" x14ac:dyDescent="0.2">
      <c r="A143" s="69" t="s">
        <v>339</v>
      </c>
      <c r="B143" s="70"/>
      <c r="C143" s="70"/>
      <c r="D143" s="71"/>
      <c r="E143" s="73"/>
      <c r="F143" s="109" t="str">
        <f>HYPERLINK("http://pbs.twimg.com/profile_images/1256687989310324738/nflybS2l_normal.jpg")</f>
        <v>http://pbs.twimg.com/profile_images/1256687989310324738/nflybS2l_normal.jpg</v>
      </c>
      <c r="G143" s="70"/>
      <c r="H143" s="74"/>
      <c r="I143" s="75"/>
      <c r="J143" s="75"/>
      <c r="K143" s="74" t="s">
        <v>2947</v>
      </c>
      <c r="L143" s="78"/>
      <c r="M143" s="79"/>
      <c r="N143" s="79"/>
      <c r="O143" s="80"/>
      <c r="P143" s="81"/>
      <c r="Q143" s="81"/>
      <c r="R143" s="93"/>
      <c r="S143" s="93"/>
      <c r="T143" s="93"/>
      <c r="U143" s="93"/>
      <c r="V143" s="52"/>
      <c r="W143" s="52"/>
      <c r="X143" s="52"/>
      <c r="Y143" s="52"/>
      <c r="Z143" s="51"/>
      <c r="AA143" s="76"/>
      <c r="AB143" s="76"/>
      <c r="AC143" s="77"/>
      <c r="AD143" s="83" t="s">
        <v>1969</v>
      </c>
      <c r="AE143" s="91" t="s">
        <v>2234</v>
      </c>
      <c r="AF143" s="83">
        <v>275</v>
      </c>
      <c r="AG143" s="83">
        <v>108</v>
      </c>
      <c r="AH143" s="83">
        <v>346</v>
      </c>
      <c r="AI143" s="83">
        <v>171</v>
      </c>
      <c r="AJ143" s="83"/>
      <c r="AK143" s="83" t="s">
        <v>2498</v>
      </c>
      <c r="AL143" s="83" t="s">
        <v>2726</v>
      </c>
      <c r="AM143" s="88" t="str">
        <f>HYPERLINK("https://t.co/uVP5X9LsQC")</f>
        <v>https://t.co/uVP5X9LsQC</v>
      </c>
      <c r="AN143" s="83"/>
      <c r="AO143" s="85">
        <v>43953.868541666663</v>
      </c>
      <c r="AP143" s="88" t="str">
        <f>HYPERLINK("https://pbs.twimg.com/profile_banners/1256687382176370690/1588452786")</f>
        <v>https://pbs.twimg.com/profile_banners/1256687382176370690/1588452786</v>
      </c>
      <c r="AQ143" s="83" t="b">
        <v>1</v>
      </c>
      <c r="AR143" s="83" t="b">
        <v>0</v>
      </c>
      <c r="AS143" s="83" t="b">
        <v>0</v>
      </c>
      <c r="AT143" s="83"/>
      <c r="AU143" s="83">
        <v>0</v>
      </c>
      <c r="AV143" s="83"/>
      <c r="AW143" s="83" t="b">
        <v>0</v>
      </c>
      <c r="AX143" s="83" t="s">
        <v>2807</v>
      </c>
      <c r="AY143" s="88" t="str">
        <f>HYPERLINK("https://twitter.com/cyrusreportgma1")</f>
        <v>https://twitter.com/cyrusreportgma1</v>
      </c>
      <c r="AZ143" s="83" t="s">
        <v>66</v>
      </c>
      <c r="BA143" s="2"/>
      <c r="BB143" s="3"/>
      <c r="BC143" s="3"/>
      <c r="BD143" s="3"/>
      <c r="BE143" s="3"/>
    </row>
    <row r="144" spans="1:57" x14ac:dyDescent="0.2">
      <c r="A144" s="69" t="s">
        <v>337</v>
      </c>
      <c r="B144" s="70"/>
      <c r="C144" s="70"/>
      <c r="D144" s="71"/>
      <c r="E144" s="73"/>
      <c r="F144" s="109" t="str">
        <f>HYPERLINK("http://pbs.twimg.com/profile_images/751895291423371264/PHVc1-Xu_normal.jpg")</f>
        <v>http://pbs.twimg.com/profile_images/751895291423371264/PHVc1-Xu_normal.jpg</v>
      </c>
      <c r="G144" s="70"/>
      <c r="H144" s="74"/>
      <c r="I144" s="75"/>
      <c r="J144" s="75"/>
      <c r="K144" s="74" t="s">
        <v>2948</v>
      </c>
      <c r="L144" s="78"/>
      <c r="M144" s="79"/>
      <c r="N144" s="79"/>
      <c r="O144" s="80"/>
      <c r="P144" s="81"/>
      <c r="Q144" s="81"/>
      <c r="R144" s="93"/>
      <c r="S144" s="93"/>
      <c r="T144" s="93"/>
      <c r="U144" s="93"/>
      <c r="V144" s="52"/>
      <c r="W144" s="52"/>
      <c r="X144" s="52"/>
      <c r="Y144" s="52"/>
      <c r="Z144" s="51"/>
      <c r="AA144" s="76"/>
      <c r="AB144" s="76"/>
      <c r="AC144" s="77"/>
      <c r="AD144" s="83" t="s">
        <v>1970</v>
      </c>
      <c r="AE144" s="91" t="s">
        <v>2235</v>
      </c>
      <c r="AF144" s="83">
        <v>56183</v>
      </c>
      <c r="AG144" s="83">
        <v>56324</v>
      </c>
      <c r="AH144" s="83">
        <v>247193</v>
      </c>
      <c r="AI144" s="83">
        <v>136031</v>
      </c>
      <c r="AJ144" s="83"/>
      <c r="AK144" s="83" t="s">
        <v>2499</v>
      </c>
      <c r="AL144" s="83" t="s">
        <v>2727</v>
      </c>
      <c r="AM144" s="88" t="str">
        <f>HYPERLINK("https://t.co/7D9StXjhZx")</f>
        <v>https://t.co/7D9StXjhZx</v>
      </c>
      <c r="AN144" s="83"/>
      <c r="AO144" s="85">
        <v>39937.411435185182</v>
      </c>
      <c r="AP144" s="88" t="str">
        <f>HYPERLINK("https://pbs.twimg.com/profile_banners/37630113/1559210016")</f>
        <v>https://pbs.twimg.com/profile_banners/37630113/1559210016</v>
      </c>
      <c r="AQ144" s="83" t="b">
        <v>1</v>
      </c>
      <c r="AR144" s="83" t="b">
        <v>0</v>
      </c>
      <c r="AS144" s="83" t="b">
        <v>0</v>
      </c>
      <c r="AT144" s="83"/>
      <c r="AU144" s="83">
        <v>160</v>
      </c>
      <c r="AV144" s="88" t="str">
        <f>HYPERLINK("http://abs.twimg.com/images/themes/theme1/bg.png")</f>
        <v>http://abs.twimg.com/images/themes/theme1/bg.png</v>
      </c>
      <c r="AW144" s="83" t="b">
        <v>0</v>
      </c>
      <c r="AX144" s="83" t="s">
        <v>2807</v>
      </c>
      <c r="AY144" s="88" t="str">
        <f>HYPERLINK("https://twitter.com/cecki")</f>
        <v>https://twitter.com/cecki</v>
      </c>
      <c r="AZ144" s="83" t="s">
        <v>66</v>
      </c>
      <c r="BA144" s="2"/>
      <c r="BB144" s="3"/>
      <c r="BC144" s="3"/>
      <c r="BD144" s="3"/>
      <c r="BE144" s="3"/>
    </row>
    <row r="145" spans="1:57" x14ac:dyDescent="0.2">
      <c r="A145" s="69" t="s">
        <v>338</v>
      </c>
      <c r="B145" s="70"/>
      <c r="C145" s="70"/>
      <c r="D145" s="71"/>
      <c r="E145" s="73"/>
      <c r="F145" s="109" t="str">
        <f>HYPERLINK("http://pbs.twimg.com/profile_images/1279533056324325376/RUthcDUy_normal.jpg")</f>
        <v>http://pbs.twimg.com/profile_images/1279533056324325376/RUthcDUy_normal.jpg</v>
      </c>
      <c r="G145" s="70"/>
      <c r="H145" s="74"/>
      <c r="I145" s="75"/>
      <c r="J145" s="75"/>
      <c r="K145" s="74" t="s">
        <v>2949</v>
      </c>
      <c r="L145" s="78"/>
      <c r="M145" s="79"/>
      <c r="N145" s="79"/>
      <c r="O145" s="80"/>
      <c r="P145" s="81"/>
      <c r="Q145" s="81"/>
      <c r="R145" s="93"/>
      <c r="S145" s="93"/>
      <c r="T145" s="93"/>
      <c r="U145" s="93"/>
      <c r="V145" s="52"/>
      <c r="W145" s="52"/>
      <c r="X145" s="52"/>
      <c r="Y145" s="52"/>
      <c r="Z145" s="51"/>
      <c r="AA145" s="76"/>
      <c r="AB145" s="76"/>
      <c r="AC145" s="77"/>
      <c r="AD145" s="83" t="s">
        <v>1971</v>
      </c>
      <c r="AE145" s="91" t="s">
        <v>2236</v>
      </c>
      <c r="AF145" s="83">
        <v>6142</v>
      </c>
      <c r="AG145" s="83">
        <v>7321</v>
      </c>
      <c r="AH145" s="83">
        <v>74882</v>
      </c>
      <c r="AI145" s="83">
        <v>88227</v>
      </c>
      <c r="AJ145" s="83"/>
      <c r="AK145" s="83" t="s">
        <v>2500</v>
      </c>
      <c r="AL145" s="83" t="s">
        <v>2728</v>
      </c>
      <c r="AM145" s="83"/>
      <c r="AN145" s="83"/>
      <c r="AO145" s="85">
        <v>42566.696747685186</v>
      </c>
      <c r="AP145" s="88" t="str">
        <f>HYPERLINK("https://pbs.twimg.com/profile_banners/753993358306009088/1549211150")</f>
        <v>https://pbs.twimg.com/profile_banners/753993358306009088/1549211150</v>
      </c>
      <c r="AQ145" s="83" t="b">
        <v>1</v>
      </c>
      <c r="AR145" s="83" t="b">
        <v>0</v>
      </c>
      <c r="AS145" s="83" t="b">
        <v>0</v>
      </c>
      <c r="AT145" s="83"/>
      <c r="AU145" s="83">
        <v>10</v>
      </c>
      <c r="AV145" s="83"/>
      <c r="AW145" s="83" t="b">
        <v>0</v>
      </c>
      <c r="AX145" s="83" t="s">
        <v>2807</v>
      </c>
      <c r="AY145" s="88" t="str">
        <f>HYPERLINK("https://twitter.com/veraangie11")</f>
        <v>https://twitter.com/veraangie11</v>
      </c>
      <c r="AZ145" s="83" t="s">
        <v>66</v>
      </c>
      <c r="BA145" s="2"/>
      <c r="BB145" s="3"/>
      <c r="BC145" s="3"/>
      <c r="BD145" s="3"/>
      <c r="BE145" s="3"/>
    </row>
    <row r="146" spans="1:57" x14ac:dyDescent="0.2">
      <c r="A146" s="69" t="s">
        <v>340</v>
      </c>
      <c r="B146" s="70"/>
      <c r="C146" s="70"/>
      <c r="D146" s="71"/>
      <c r="E146" s="73"/>
      <c r="F146" s="109" t="str">
        <f>HYPERLINK("http://pbs.twimg.com/profile_images/1184218900680101888/nK7eLWCv_normal.jpg")</f>
        <v>http://pbs.twimg.com/profile_images/1184218900680101888/nK7eLWCv_normal.jpg</v>
      </c>
      <c r="G146" s="70"/>
      <c r="H146" s="74"/>
      <c r="I146" s="75"/>
      <c r="J146" s="75"/>
      <c r="K146" s="74" t="s">
        <v>2950</v>
      </c>
      <c r="L146" s="78"/>
      <c r="M146" s="79"/>
      <c r="N146" s="79"/>
      <c r="O146" s="80"/>
      <c r="P146" s="81"/>
      <c r="Q146" s="81"/>
      <c r="R146" s="93"/>
      <c r="S146" s="93"/>
      <c r="T146" s="93"/>
      <c r="U146" s="93"/>
      <c r="V146" s="52"/>
      <c r="W146" s="52"/>
      <c r="X146" s="52"/>
      <c r="Y146" s="52"/>
      <c r="Z146" s="51"/>
      <c r="AA146" s="76"/>
      <c r="AB146" s="76"/>
      <c r="AC146" s="77"/>
      <c r="AD146" s="83" t="s">
        <v>1972</v>
      </c>
      <c r="AE146" s="91" t="s">
        <v>2237</v>
      </c>
      <c r="AF146" s="83">
        <v>3068</v>
      </c>
      <c r="AG146" s="83">
        <v>3079</v>
      </c>
      <c r="AH146" s="83">
        <v>64972</v>
      </c>
      <c r="AI146" s="83">
        <v>56623</v>
      </c>
      <c r="AJ146" s="83"/>
      <c r="AK146" s="83" t="s">
        <v>2501</v>
      </c>
      <c r="AL146" s="83"/>
      <c r="AM146" s="83"/>
      <c r="AN146" s="83"/>
      <c r="AO146" s="85">
        <v>42659.614525462966</v>
      </c>
      <c r="AP146" s="88" t="str">
        <f>HYPERLINK("https://pbs.twimg.com/profile_banners/787665629172162560/1571174763")</f>
        <v>https://pbs.twimg.com/profile_banners/787665629172162560/1571174763</v>
      </c>
      <c r="AQ146" s="83" t="b">
        <v>1</v>
      </c>
      <c r="AR146" s="83" t="b">
        <v>0</v>
      </c>
      <c r="AS146" s="83" t="b">
        <v>1</v>
      </c>
      <c r="AT146" s="83"/>
      <c r="AU146" s="83">
        <v>0</v>
      </c>
      <c r="AV146" s="83"/>
      <c r="AW146" s="83" t="b">
        <v>0</v>
      </c>
      <c r="AX146" s="83" t="s">
        <v>2807</v>
      </c>
      <c r="AY146" s="88" t="str">
        <f>HYPERLINK("https://twitter.com/ko92792")</f>
        <v>https://twitter.com/ko92792</v>
      </c>
      <c r="AZ146" s="83" t="s">
        <v>66</v>
      </c>
      <c r="BA146" s="2"/>
      <c r="BB146" s="3"/>
      <c r="BC146" s="3"/>
      <c r="BD146" s="3"/>
      <c r="BE146" s="3"/>
    </row>
    <row r="147" spans="1:57" x14ac:dyDescent="0.2">
      <c r="A147" s="69" t="s">
        <v>341</v>
      </c>
      <c r="B147" s="70"/>
      <c r="C147" s="70"/>
      <c r="D147" s="71"/>
      <c r="E147" s="73"/>
      <c r="F147" s="109" t="str">
        <f>HYPERLINK("http://pbs.twimg.com/profile_images/1003489851075772416/jr-pSbJh_normal.jpg")</f>
        <v>http://pbs.twimg.com/profile_images/1003489851075772416/jr-pSbJh_normal.jpg</v>
      </c>
      <c r="G147" s="70"/>
      <c r="H147" s="74"/>
      <c r="I147" s="75"/>
      <c r="J147" s="75"/>
      <c r="K147" s="74" t="s">
        <v>2951</v>
      </c>
      <c r="L147" s="78"/>
      <c r="M147" s="79"/>
      <c r="N147" s="79"/>
      <c r="O147" s="80"/>
      <c r="P147" s="81"/>
      <c r="Q147" s="81"/>
      <c r="R147" s="93"/>
      <c r="S147" s="93"/>
      <c r="T147" s="93"/>
      <c r="U147" s="93"/>
      <c r="V147" s="52"/>
      <c r="W147" s="52"/>
      <c r="X147" s="52"/>
      <c r="Y147" s="52"/>
      <c r="Z147" s="51"/>
      <c r="AA147" s="76"/>
      <c r="AB147" s="76"/>
      <c r="AC147" s="77"/>
      <c r="AD147" s="83" t="s">
        <v>1973</v>
      </c>
      <c r="AE147" s="91" t="s">
        <v>2238</v>
      </c>
      <c r="AF147" s="83">
        <v>4553</v>
      </c>
      <c r="AG147" s="83">
        <v>2844</v>
      </c>
      <c r="AH147" s="83">
        <v>24284</v>
      </c>
      <c r="AI147" s="83">
        <v>44170</v>
      </c>
      <c r="AJ147" s="83"/>
      <c r="AK147" s="83" t="s">
        <v>2502</v>
      </c>
      <c r="AL147" s="83" t="s">
        <v>2648</v>
      </c>
      <c r="AM147" s="88" t="str">
        <f>HYPERLINK("https://t.co/sNUez6cA8g")</f>
        <v>https://t.co/sNUez6cA8g</v>
      </c>
      <c r="AN147" s="83"/>
      <c r="AO147" s="85">
        <v>40055.302268518521</v>
      </c>
      <c r="AP147" s="88" t="str">
        <f>HYPERLINK("https://pbs.twimg.com/profile_banners/70072872/1497549920")</f>
        <v>https://pbs.twimg.com/profile_banners/70072872/1497549920</v>
      </c>
      <c r="AQ147" s="83" t="b">
        <v>0</v>
      </c>
      <c r="AR147" s="83" t="b">
        <v>0</v>
      </c>
      <c r="AS147" s="83" t="b">
        <v>0</v>
      </c>
      <c r="AT147" s="83"/>
      <c r="AU147" s="83">
        <v>123</v>
      </c>
      <c r="AV147" s="88" t="str">
        <f>HYPERLINK("http://abs.twimg.com/images/themes/theme1/bg.png")</f>
        <v>http://abs.twimg.com/images/themes/theme1/bg.png</v>
      </c>
      <c r="AW147" s="83" t="b">
        <v>0</v>
      </c>
      <c r="AX147" s="83" t="s">
        <v>2807</v>
      </c>
      <c r="AY147" s="88" t="str">
        <f>HYPERLINK("https://twitter.com/kinect023")</f>
        <v>https://twitter.com/kinect023</v>
      </c>
      <c r="AZ147" s="83" t="s">
        <v>66</v>
      </c>
      <c r="BA147" s="2"/>
      <c r="BB147" s="3"/>
      <c r="BC147" s="3"/>
      <c r="BD147" s="3"/>
      <c r="BE147" s="3"/>
    </row>
    <row r="148" spans="1:57" x14ac:dyDescent="0.2">
      <c r="A148" s="69" t="s">
        <v>342</v>
      </c>
      <c r="B148" s="70"/>
      <c r="C148" s="70"/>
      <c r="D148" s="71"/>
      <c r="E148" s="73"/>
      <c r="F148" s="109" t="str">
        <f>HYPERLINK("http://pbs.twimg.com/profile_images/1263298683879096320/6gwVz81Q_normal.jpg")</f>
        <v>http://pbs.twimg.com/profile_images/1263298683879096320/6gwVz81Q_normal.jpg</v>
      </c>
      <c r="G148" s="70"/>
      <c r="H148" s="74"/>
      <c r="I148" s="75"/>
      <c r="J148" s="75"/>
      <c r="K148" s="74" t="s">
        <v>2952</v>
      </c>
      <c r="L148" s="78"/>
      <c r="M148" s="79"/>
      <c r="N148" s="79"/>
      <c r="O148" s="80"/>
      <c r="P148" s="81"/>
      <c r="Q148" s="81"/>
      <c r="R148" s="93"/>
      <c r="S148" s="93"/>
      <c r="T148" s="93"/>
      <c r="U148" s="93"/>
      <c r="V148" s="52"/>
      <c r="W148" s="52"/>
      <c r="X148" s="52"/>
      <c r="Y148" s="52"/>
      <c r="Z148" s="51"/>
      <c r="AA148" s="76"/>
      <c r="AB148" s="76"/>
      <c r="AC148" s="77"/>
      <c r="AD148" s="83" t="s">
        <v>1974</v>
      </c>
      <c r="AE148" s="91" t="s">
        <v>2239</v>
      </c>
      <c r="AF148" s="83">
        <v>134</v>
      </c>
      <c r="AG148" s="83">
        <v>139</v>
      </c>
      <c r="AH148" s="83">
        <v>316</v>
      </c>
      <c r="AI148" s="83">
        <v>2820</v>
      </c>
      <c r="AJ148" s="83"/>
      <c r="AK148" s="83" t="s">
        <v>2503</v>
      </c>
      <c r="AL148" s="83" t="s">
        <v>2729</v>
      </c>
      <c r="AM148" s="83"/>
      <c r="AN148" s="83"/>
      <c r="AO148" s="85">
        <v>43970.162175925929</v>
      </c>
      <c r="AP148" s="88" t="str">
        <f>HYPERLINK("https://pbs.twimg.com/profile_banners/1262592125285199872/1592133771")</f>
        <v>https://pbs.twimg.com/profile_banners/1262592125285199872/1592133771</v>
      </c>
      <c r="AQ148" s="83" t="b">
        <v>1</v>
      </c>
      <c r="AR148" s="83" t="b">
        <v>0</v>
      </c>
      <c r="AS148" s="83" t="b">
        <v>0</v>
      </c>
      <c r="AT148" s="83"/>
      <c r="AU148" s="83">
        <v>3</v>
      </c>
      <c r="AV148" s="83"/>
      <c r="AW148" s="83" t="b">
        <v>0</v>
      </c>
      <c r="AX148" s="83" t="s">
        <v>2807</v>
      </c>
      <c r="AY148" s="88" t="str">
        <f>HYPERLINK("https://twitter.com/mameojaru")</f>
        <v>https://twitter.com/mameojaru</v>
      </c>
      <c r="AZ148" s="83" t="s">
        <v>66</v>
      </c>
      <c r="BA148" s="2"/>
      <c r="BB148" s="3"/>
      <c r="BC148" s="3"/>
      <c r="BD148" s="3"/>
      <c r="BE148" s="3"/>
    </row>
    <row r="149" spans="1:57" x14ac:dyDescent="0.2">
      <c r="A149" s="69" t="s">
        <v>343</v>
      </c>
      <c r="B149" s="70"/>
      <c r="C149" s="70"/>
      <c r="D149" s="71"/>
      <c r="E149" s="73"/>
      <c r="F149" s="109" t="str">
        <f>HYPERLINK("http://pbs.twimg.com/profile_images/1223964270687219716/ZdpkvVux_normal.jpg")</f>
        <v>http://pbs.twimg.com/profile_images/1223964270687219716/ZdpkvVux_normal.jpg</v>
      </c>
      <c r="G149" s="70"/>
      <c r="H149" s="74"/>
      <c r="I149" s="75"/>
      <c r="J149" s="75"/>
      <c r="K149" s="74" t="s">
        <v>2953</v>
      </c>
      <c r="L149" s="78"/>
      <c r="M149" s="79"/>
      <c r="N149" s="79"/>
      <c r="O149" s="80"/>
      <c r="P149" s="81"/>
      <c r="Q149" s="81"/>
      <c r="R149" s="93"/>
      <c r="S149" s="93"/>
      <c r="T149" s="93"/>
      <c r="U149" s="93"/>
      <c r="V149" s="52"/>
      <c r="W149" s="52"/>
      <c r="X149" s="52"/>
      <c r="Y149" s="52"/>
      <c r="Z149" s="51"/>
      <c r="AA149" s="76"/>
      <c r="AB149" s="76"/>
      <c r="AC149" s="77"/>
      <c r="AD149" s="83" t="s">
        <v>1975</v>
      </c>
      <c r="AE149" s="91" t="s">
        <v>2240</v>
      </c>
      <c r="AF149" s="83">
        <v>685</v>
      </c>
      <c r="AG149" s="83">
        <v>188</v>
      </c>
      <c r="AH149" s="83">
        <v>11217</v>
      </c>
      <c r="AI149" s="83">
        <v>19558</v>
      </c>
      <c r="AJ149" s="83"/>
      <c r="AK149" s="83" t="s">
        <v>2504</v>
      </c>
      <c r="AL149" s="83" t="s">
        <v>2730</v>
      </c>
      <c r="AM149" s="83"/>
      <c r="AN149" s="83"/>
      <c r="AO149" s="85">
        <v>43863.559479166666</v>
      </c>
      <c r="AP149" s="83"/>
      <c r="AQ149" s="83" t="b">
        <v>1</v>
      </c>
      <c r="AR149" s="83" t="b">
        <v>0</v>
      </c>
      <c r="AS149" s="83" t="b">
        <v>0</v>
      </c>
      <c r="AT149" s="83"/>
      <c r="AU149" s="83">
        <v>4</v>
      </c>
      <c r="AV149" s="83"/>
      <c r="AW149" s="83" t="b">
        <v>0</v>
      </c>
      <c r="AX149" s="83" t="s">
        <v>2807</v>
      </c>
      <c r="AY149" s="88" t="str">
        <f>HYPERLINK("https://twitter.com/psoiko2")</f>
        <v>https://twitter.com/psoiko2</v>
      </c>
      <c r="AZ149" s="83" t="s">
        <v>66</v>
      </c>
      <c r="BA149" s="2"/>
      <c r="BB149" s="3"/>
      <c r="BC149" s="3"/>
      <c r="BD149" s="3"/>
      <c r="BE149" s="3"/>
    </row>
    <row r="150" spans="1:57" x14ac:dyDescent="0.2">
      <c r="A150" s="69" t="s">
        <v>408</v>
      </c>
      <c r="B150" s="70"/>
      <c r="C150" s="70"/>
      <c r="D150" s="71"/>
      <c r="E150" s="73"/>
      <c r="F150" s="109" t="str">
        <f>HYPERLINK("http://pbs.twimg.com/profile_images/1262859678121263104/DecomVhL_normal.jpg")</f>
        <v>http://pbs.twimg.com/profile_images/1262859678121263104/DecomVhL_normal.jpg</v>
      </c>
      <c r="G150" s="70"/>
      <c r="H150" s="74"/>
      <c r="I150" s="75"/>
      <c r="J150" s="75"/>
      <c r="K150" s="74" t="s">
        <v>2954</v>
      </c>
      <c r="L150" s="78"/>
      <c r="M150" s="79"/>
      <c r="N150" s="79"/>
      <c r="O150" s="80"/>
      <c r="P150" s="81"/>
      <c r="Q150" s="81"/>
      <c r="R150" s="93"/>
      <c r="S150" s="93"/>
      <c r="T150" s="93"/>
      <c r="U150" s="93"/>
      <c r="V150" s="52"/>
      <c r="W150" s="52"/>
      <c r="X150" s="52"/>
      <c r="Y150" s="52"/>
      <c r="Z150" s="51"/>
      <c r="AA150" s="76"/>
      <c r="AB150" s="76"/>
      <c r="AC150" s="77"/>
      <c r="AD150" s="83" t="s">
        <v>1976</v>
      </c>
      <c r="AE150" s="91" t="s">
        <v>2241</v>
      </c>
      <c r="AF150" s="83">
        <v>1995</v>
      </c>
      <c r="AG150" s="83">
        <v>1396</v>
      </c>
      <c r="AH150" s="83">
        <v>22369</v>
      </c>
      <c r="AI150" s="83">
        <v>67208</v>
      </c>
      <c r="AJ150" s="83"/>
      <c r="AK150" s="83" t="s">
        <v>2505</v>
      </c>
      <c r="AL150" s="83" t="s">
        <v>2648</v>
      </c>
      <c r="AM150" s="83"/>
      <c r="AN150" s="83"/>
      <c r="AO150" s="85">
        <v>41236.425335648149</v>
      </c>
      <c r="AP150" s="88" t="str">
        <f>HYPERLINK("https://pbs.twimg.com/profile_banners/965857261/1589923773")</f>
        <v>https://pbs.twimg.com/profile_banners/965857261/1589923773</v>
      </c>
      <c r="AQ150" s="83" t="b">
        <v>1</v>
      </c>
      <c r="AR150" s="83" t="b">
        <v>0</v>
      </c>
      <c r="AS150" s="83" t="b">
        <v>0</v>
      </c>
      <c r="AT150" s="83"/>
      <c r="AU150" s="83">
        <v>22</v>
      </c>
      <c r="AV150" s="88" t="str">
        <f>HYPERLINK("http://abs.twimg.com/images/themes/theme1/bg.png")</f>
        <v>http://abs.twimg.com/images/themes/theme1/bg.png</v>
      </c>
      <c r="AW150" s="83" t="b">
        <v>0</v>
      </c>
      <c r="AX150" s="83" t="s">
        <v>2807</v>
      </c>
      <c r="AY150" s="88" t="str">
        <f>HYPERLINK("https://twitter.com/hirocos2")</f>
        <v>https://twitter.com/hirocos2</v>
      </c>
      <c r="AZ150" s="83" t="s">
        <v>66</v>
      </c>
      <c r="BA150" s="2"/>
      <c r="BB150" s="3"/>
      <c r="BC150" s="3"/>
      <c r="BD150" s="3"/>
      <c r="BE150" s="3"/>
    </row>
    <row r="151" spans="1:57" x14ac:dyDescent="0.2">
      <c r="A151" s="69" t="s">
        <v>359</v>
      </c>
      <c r="B151" s="70"/>
      <c r="C151" s="70"/>
      <c r="D151" s="71"/>
      <c r="E151" s="73"/>
      <c r="F151" s="109" t="str">
        <f>HYPERLINK("http://pbs.twimg.com/profile_images/1258735263125135361/AGe8DO9y_normal.jpg")</f>
        <v>http://pbs.twimg.com/profile_images/1258735263125135361/AGe8DO9y_normal.jpg</v>
      </c>
      <c r="G151" s="70"/>
      <c r="H151" s="74"/>
      <c r="I151" s="75"/>
      <c r="J151" s="75"/>
      <c r="K151" s="74" t="s">
        <v>2955</v>
      </c>
      <c r="L151" s="78"/>
      <c r="M151" s="79"/>
      <c r="N151" s="79"/>
      <c r="O151" s="80"/>
      <c r="P151" s="81"/>
      <c r="Q151" s="81"/>
      <c r="R151" s="93"/>
      <c r="S151" s="93"/>
      <c r="T151" s="93"/>
      <c r="U151" s="93"/>
      <c r="V151" s="52"/>
      <c r="W151" s="52"/>
      <c r="X151" s="52"/>
      <c r="Y151" s="52"/>
      <c r="Z151" s="51"/>
      <c r="AA151" s="76"/>
      <c r="AB151" s="76"/>
      <c r="AC151" s="77"/>
      <c r="AD151" s="83" t="s">
        <v>1977</v>
      </c>
      <c r="AE151" s="91" t="s">
        <v>2242</v>
      </c>
      <c r="AF151" s="83">
        <v>341</v>
      </c>
      <c r="AG151" s="83">
        <v>284</v>
      </c>
      <c r="AH151" s="83">
        <v>1648</v>
      </c>
      <c r="AI151" s="83">
        <v>11341</v>
      </c>
      <c r="AJ151" s="83"/>
      <c r="AK151" s="83" t="s">
        <v>2506</v>
      </c>
      <c r="AL151" s="83" t="s">
        <v>2731</v>
      </c>
      <c r="AM151" s="88" t="str">
        <f>HYPERLINK("https://t.co/KaflASzHDi")</f>
        <v>https://t.co/KaflASzHDi</v>
      </c>
      <c r="AN151" s="83"/>
      <c r="AO151" s="85">
        <v>43744.610451388886</v>
      </c>
      <c r="AP151" s="88" t="str">
        <f>HYPERLINK("https://pbs.twimg.com/profile_banners/1180854874444951557/1594220233")</f>
        <v>https://pbs.twimg.com/profile_banners/1180854874444951557/1594220233</v>
      </c>
      <c r="AQ151" s="83" t="b">
        <v>1</v>
      </c>
      <c r="AR151" s="83" t="b">
        <v>0</v>
      </c>
      <c r="AS151" s="83" t="b">
        <v>0</v>
      </c>
      <c r="AT151" s="83"/>
      <c r="AU151" s="83">
        <v>3</v>
      </c>
      <c r="AV151" s="83"/>
      <c r="AW151" s="83" t="b">
        <v>0</v>
      </c>
      <c r="AX151" s="83" t="s">
        <v>2807</v>
      </c>
      <c r="AY151" s="88" t="str">
        <f>HYPERLINK("https://twitter.com/hiho_3tafe")</f>
        <v>https://twitter.com/hiho_3tafe</v>
      </c>
      <c r="AZ151" s="83" t="s">
        <v>66</v>
      </c>
      <c r="BA151" s="2"/>
      <c r="BB151" s="3"/>
      <c r="BC151" s="3"/>
      <c r="BD151" s="3"/>
      <c r="BE151" s="3"/>
    </row>
    <row r="152" spans="1:57" x14ac:dyDescent="0.2">
      <c r="A152" s="69" t="s">
        <v>344</v>
      </c>
      <c r="B152" s="70"/>
      <c r="C152" s="70"/>
      <c r="D152" s="71"/>
      <c r="E152" s="73"/>
      <c r="F152" s="109" t="str">
        <f>HYPERLINK("http://pbs.twimg.com/profile_images/1260107849088163841/KSu60n_S_normal.jpg")</f>
        <v>http://pbs.twimg.com/profile_images/1260107849088163841/KSu60n_S_normal.jpg</v>
      </c>
      <c r="G152" s="70"/>
      <c r="H152" s="74"/>
      <c r="I152" s="75"/>
      <c r="J152" s="75"/>
      <c r="K152" s="74" t="s">
        <v>2956</v>
      </c>
      <c r="L152" s="78"/>
      <c r="M152" s="79"/>
      <c r="N152" s="79"/>
      <c r="O152" s="80"/>
      <c r="P152" s="81"/>
      <c r="Q152" s="81"/>
      <c r="R152" s="93"/>
      <c r="S152" s="93"/>
      <c r="T152" s="93"/>
      <c r="U152" s="93"/>
      <c r="V152" s="52"/>
      <c r="W152" s="52"/>
      <c r="X152" s="52"/>
      <c r="Y152" s="52"/>
      <c r="Z152" s="51"/>
      <c r="AA152" s="76"/>
      <c r="AB152" s="76"/>
      <c r="AC152" s="77"/>
      <c r="AD152" s="83" t="s">
        <v>1978</v>
      </c>
      <c r="AE152" s="91" t="s">
        <v>2243</v>
      </c>
      <c r="AF152" s="83">
        <v>42</v>
      </c>
      <c r="AG152" s="83">
        <v>27</v>
      </c>
      <c r="AH152" s="83">
        <v>106</v>
      </c>
      <c r="AI152" s="83">
        <v>411</v>
      </c>
      <c r="AJ152" s="83"/>
      <c r="AK152" s="83" t="s">
        <v>2507</v>
      </c>
      <c r="AL152" s="83"/>
      <c r="AM152" s="83"/>
      <c r="AN152" s="83"/>
      <c r="AO152" s="85">
        <v>43235.508379629631</v>
      </c>
      <c r="AP152" s="88" t="str">
        <f>HYPERLINK("https://pbs.twimg.com/profile_banners/996362576924573696/1587827250")</f>
        <v>https://pbs.twimg.com/profile_banners/996362576924573696/1587827250</v>
      </c>
      <c r="AQ152" s="83" t="b">
        <v>1</v>
      </c>
      <c r="AR152" s="83" t="b">
        <v>0</v>
      </c>
      <c r="AS152" s="83" t="b">
        <v>0</v>
      </c>
      <c r="AT152" s="83"/>
      <c r="AU152" s="83">
        <v>1</v>
      </c>
      <c r="AV152" s="83"/>
      <c r="AW152" s="83" t="b">
        <v>0</v>
      </c>
      <c r="AX152" s="83" t="s">
        <v>2807</v>
      </c>
      <c r="AY152" s="88" t="str">
        <f>HYPERLINK("https://twitter.com/radiusbit")</f>
        <v>https://twitter.com/radiusbit</v>
      </c>
      <c r="AZ152" s="83" t="s">
        <v>66</v>
      </c>
      <c r="BA152" s="2"/>
      <c r="BB152" s="3"/>
      <c r="BC152" s="3"/>
      <c r="BD152" s="3"/>
      <c r="BE152" s="3"/>
    </row>
    <row r="153" spans="1:57" x14ac:dyDescent="0.2">
      <c r="A153" s="69" t="s">
        <v>345</v>
      </c>
      <c r="B153" s="70"/>
      <c r="C153" s="70"/>
      <c r="D153" s="71"/>
      <c r="E153" s="73"/>
      <c r="F153" s="109" t="str">
        <f>HYPERLINK("http://pbs.twimg.com/profile_images/1189002588705869825/PIDXX_3M_normal.png")</f>
        <v>http://pbs.twimg.com/profile_images/1189002588705869825/PIDXX_3M_normal.png</v>
      </c>
      <c r="G153" s="70"/>
      <c r="H153" s="74"/>
      <c r="I153" s="75"/>
      <c r="J153" s="75"/>
      <c r="K153" s="74" t="s">
        <v>2957</v>
      </c>
      <c r="L153" s="78"/>
      <c r="M153" s="79"/>
      <c r="N153" s="79"/>
      <c r="O153" s="80"/>
      <c r="P153" s="81"/>
      <c r="Q153" s="81"/>
      <c r="R153" s="93"/>
      <c r="S153" s="93"/>
      <c r="T153" s="93"/>
      <c r="U153" s="93"/>
      <c r="V153" s="52"/>
      <c r="W153" s="52"/>
      <c r="X153" s="52"/>
      <c r="Y153" s="52"/>
      <c r="Z153" s="51"/>
      <c r="AA153" s="76"/>
      <c r="AB153" s="76"/>
      <c r="AC153" s="77"/>
      <c r="AD153" s="83" t="s">
        <v>345</v>
      </c>
      <c r="AE153" s="91" t="s">
        <v>2244</v>
      </c>
      <c r="AF153" s="83">
        <v>979</v>
      </c>
      <c r="AG153" s="83">
        <v>584</v>
      </c>
      <c r="AH153" s="83">
        <v>77748</v>
      </c>
      <c r="AI153" s="83">
        <v>522</v>
      </c>
      <c r="AJ153" s="83"/>
      <c r="AK153" s="83" t="s">
        <v>2508</v>
      </c>
      <c r="AL153" s="83" t="s">
        <v>2732</v>
      </c>
      <c r="AM153" s="88" t="str">
        <f>HYPERLINK("https://t.co/AQDqNtdRbh")</f>
        <v>https://t.co/AQDqNtdRbh</v>
      </c>
      <c r="AN153" s="83"/>
      <c r="AO153" s="85">
        <v>40034.624745370369</v>
      </c>
      <c r="AP153" s="88" t="str">
        <f>HYPERLINK("https://pbs.twimg.com/profile_banners/64187526/1559471921")</f>
        <v>https://pbs.twimg.com/profile_banners/64187526/1559471921</v>
      </c>
      <c r="AQ153" s="83" t="b">
        <v>0</v>
      </c>
      <c r="AR153" s="83" t="b">
        <v>0</v>
      </c>
      <c r="AS153" s="83" t="b">
        <v>0</v>
      </c>
      <c r="AT153" s="83"/>
      <c r="AU153" s="83">
        <v>44</v>
      </c>
      <c r="AV153" s="88" t="str">
        <f>HYPERLINK("http://abs.twimg.com/images/themes/theme3/bg.gif")</f>
        <v>http://abs.twimg.com/images/themes/theme3/bg.gif</v>
      </c>
      <c r="AW153" s="83" t="b">
        <v>0</v>
      </c>
      <c r="AX153" s="83" t="s">
        <v>2807</v>
      </c>
      <c r="AY153" s="88" t="str">
        <f>HYPERLINK("https://twitter.com/gorotsukineko")</f>
        <v>https://twitter.com/gorotsukineko</v>
      </c>
      <c r="AZ153" s="83" t="s">
        <v>66</v>
      </c>
      <c r="BA153" s="2"/>
      <c r="BB153" s="3"/>
      <c r="BC153" s="3"/>
      <c r="BD153" s="3"/>
      <c r="BE153" s="3"/>
    </row>
    <row r="154" spans="1:57" x14ac:dyDescent="0.2">
      <c r="A154" s="69" t="s">
        <v>440</v>
      </c>
      <c r="B154" s="70"/>
      <c r="C154" s="70"/>
      <c r="D154" s="71"/>
      <c r="E154" s="73"/>
      <c r="F154" s="109" t="str">
        <f>HYPERLINK("http://pbs.twimg.com/profile_images/1143672262723112960/kfhDI7Yu_normal.jpg")</f>
        <v>http://pbs.twimg.com/profile_images/1143672262723112960/kfhDI7Yu_normal.jpg</v>
      </c>
      <c r="G154" s="70"/>
      <c r="H154" s="74"/>
      <c r="I154" s="75"/>
      <c r="J154" s="75"/>
      <c r="K154" s="74" t="s">
        <v>2958</v>
      </c>
      <c r="L154" s="78"/>
      <c r="M154" s="79"/>
      <c r="N154" s="79"/>
      <c r="O154" s="80"/>
      <c r="P154" s="81"/>
      <c r="Q154" s="81"/>
      <c r="R154" s="93"/>
      <c r="S154" s="93"/>
      <c r="T154" s="93"/>
      <c r="U154" s="93"/>
      <c r="V154" s="52"/>
      <c r="W154" s="52"/>
      <c r="X154" s="52"/>
      <c r="Y154" s="52"/>
      <c r="Z154" s="51"/>
      <c r="AA154" s="76"/>
      <c r="AB154" s="76"/>
      <c r="AC154" s="77"/>
      <c r="AD154" s="83" t="s">
        <v>1979</v>
      </c>
      <c r="AE154" s="91" t="s">
        <v>2245</v>
      </c>
      <c r="AF154" s="83">
        <v>924</v>
      </c>
      <c r="AG154" s="83">
        <v>600</v>
      </c>
      <c r="AH154" s="83">
        <v>7495</v>
      </c>
      <c r="AI154" s="83">
        <v>13576</v>
      </c>
      <c r="AJ154" s="83"/>
      <c r="AK154" s="83" t="s">
        <v>2509</v>
      </c>
      <c r="AL154" s="83" t="s">
        <v>2733</v>
      </c>
      <c r="AM154" s="83"/>
      <c r="AN154" s="83"/>
      <c r="AO154" s="85">
        <v>42390.116446759261</v>
      </c>
      <c r="AP154" s="88" t="str">
        <f>HYPERLINK("https://pbs.twimg.com/profile_banners/4831596658/1578475949")</f>
        <v>https://pbs.twimg.com/profile_banners/4831596658/1578475949</v>
      </c>
      <c r="AQ154" s="83" t="b">
        <v>1</v>
      </c>
      <c r="AR154" s="83" t="b">
        <v>0</v>
      </c>
      <c r="AS154" s="83" t="b">
        <v>1</v>
      </c>
      <c r="AT154" s="83"/>
      <c r="AU154" s="83">
        <v>16</v>
      </c>
      <c r="AV154" s="83"/>
      <c r="AW154" s="83" t="b">
        <v>0</v>
      </c>
      <c r="AX154" s="83" t="s">
        <v>2807</v>
      </c>
      <c r="AY154" s="88" t="str">
        <f>HYPERLINK("https://twitter.com/enl_tp235")</f>
        <v>https://twitter.com/enl_tp235</v>
      </c>
      <c r="AZ154" s="83" t="s">
        <v>66</v>
      </c>
      <c r="BA154" s="2"/>
      <c r="BB154" s="3"/>
      <c r="BC154" s="3"/>
      <c r="BD154" s="3"/>
      <c r="BE154" s="3"/>
    </row>
    <row r="155" spans="1:57" x14ac:dyDescent="0.2">
      <c r="A155" s="69" t="s">
        <v>346</v>
      </c>
      <c r="B155" s="70"/>
      <c r="C155" s="70"/>
      <c r="D155" s="71"/>
      <c r="E155" s="73"/>
      <c r="F155" s="109" t="str">
        <f>HYPERLINK("http://pbs.twimg.com/profile_images/1263575901255565313/vX9Zlil2_normal.jpg")</f>
        <v>http://pbs.twimg.com/profile_images/1263575901255565313/vX9Zlil2_normal.jpg</v>
      </c>
      <c r="G155" s="70"/>
      <c r="H155" s="74"/>
      <c r="I155" s="75"/>
      <c r="J155" s="75"/>
      <c r="K155" s="74" t="s">
        <v>2959</v>
      </c>
      <c r="L155" s="78"/>
      <c r="M155" s="79"/>
      <c r="N155" s="79"/>
      <c r="O155" s="80"/>
      <c r="P155" s="81"/>
      <c r="Q155" s="81"/>
      <c r="R155" s="93"/>
      <c r="S155" s="93"/>
      <c r="T155" s="93"/>
      <c r="U155" s="93"/>
      <c r="V155" s="52"/>
      <c r="W155" s="52"/>
      <c r="X155" s="52"/>
      <c r="Y155" s="52"/>
      <c r="Z155" s="51"/>
      <c r="AA155" s="76"/>
      <c r="AB155" s="76"/>
      <c r="AC155" s="77"/>
      <c r="AD155" s="83" t="s">
        <v>1980</v>
      </c>
      <c r="AE155" s="91" t="s">
        <v>2246</v>
      </c>
      <c r="AF155" s="83">
        <v>3337</v>
      </c>
      <c r="AG155" s="83">
        <v>2473</v>
      </c>
      <c r="AH155" s="83">
        <v>20767</v>
      </c>
      <c r="AI155" s="83">
        <v>42700</v>
      </c>
      <c r="AJ155" s="83"/>
      <c r="AK155" s="83" t="s">
        <v>2510</v>
      </c>
      <c r="AL155" s="83" t="s">
        <v>2734</v>
      </c>
      <c r="AM155" s="88" t="str">
        <f>HYPERLINK("https://t.co/HkmkPgrUhq")</f>
        <v>https://t.co/HkmkPgrUhq</v>
      </c>
      <c r="AN155" s="83"/>
      <c r="AO155" s="85">
        <v>43017.189479166664</v>
      </c>
      <c r="AP155" s="88" t="str">
        <f>HYPERLINK("https://pbs.twimg.com/profile_banners/917246454044823552/1578290671")</f>
        <v>https://pbs.twimg.com/profile_banners/917246454044823552/1578290671</v>
      </c>
      <c r="AQ155" s="83" t="b">
        <v>1</v>
      </c>
      <c r="AR155" s="83" t="b">
        <v>0</v>
      </c>
      <c r="AS155" s="83" t="b">
        <v>1</v>
      </c>
      <c r="AT155" s="83"/>
      <c r="AU155" s="83">
        <v>9</v>
      </c>
      <c r="AV155" s="83"/>
      <c r="AW155" s="83" t="b">
        <v>0</v>
      </c>
      <c r="AX155" s="83" t="s">
        <v>2807</v>
      </c>
      <c r="AY155" s="88" t="str">
        <f>HYPERLINK("https://twitter.com/10r_p")</f>
        <v>https://twitter.com/10r_p</v>
      </c>
      <c r="AZ155" s="83" t="s">
        <v>66</v>
      </c>
      <c r="BA155" s="2"/>
      <c r="BB155" s="3"/>
      <c r="BC155" s="3"/>
      <c r="BD155" s="3"/>
      <c r="BE155" s="3"/>
    </row>
    <row r="156" spans="1:57" x14ac:dyDescent="0.2">
      <c r="A156" s="69" t="s">
        <v>347</v>
      </c>
      <c r="B156" s="70"/>
      <c r="C156" s="70"/>
      <c r="D156" s="71"/>
      <c r="E156" s="73"/>
      <c r="F156" s="109" t="str">
        <f>HYPERLINK("http://pbs.twimg.com/profile_images/1236757993506484224/2YPssj9v_normal.jpg")</f>
        <v>http://pbs.twimg.com/profile_images/1236757993506484224/2YPssj9v_normal.jpg</v>
      </c>
      <c r="G156" s="70"/>
      <c r="H156" s="74"/>
      <c r="I156" s="75"/>
      <c r="J156" s="75"/>
      <c r="K156" s="74" t="s">
        <v>2960</v>
      </c>
      <c r="L156" s="78"/>
      <c r="M156" s="79"/>
      <c r="N156" s="79"/>
      <c r="O156" s="80"/>
      <c r="P156" s="81"/>
      <c r="Q156" s="81"/>
      <c r="R156" s="93"/>
      <c r="S156" s="93"/>
      <c r="T156" s="93"/>
      <c r="U156" s="93"/>
      <c r="V156" s="52"/>
      <c r="W156" s="52"/>
      <c r="X156" s="52"/>
      <c r="Y156" s="52"/>
      <c r="Z156" s="51"/>
      <c r="AA156" s="76"/>
      <c r="AB156" s="76"/>
      <c r="AC156" s="77"/>
      <c r="AD156" s="83" t="s">
        <v>1981</v>
      </c>
      <c r="AE156" s="91" t="s">
        <v>2247</v>
      </c>
      <c r="AF156" s="83">
        <v>139</v>
      </c>
      <c r="AG156" s="83">
        <v>190</v>
      </c>
      <c r="AH156" s="83">
        <v>1371</v>
      </c>
      <c r="AI156" s="83">
        <v>4073</v>
      </c>
      <c r="AJ156" s="83"/>
      <c r="AK156" s="83" t="s">
        <v>2511</v>
      </c>
      <c r="AL156" s="83" t="s">
        <v>2735</v>
      </c>
      <c r="AM156" s="88" t="str">
        <f>HYPERLINK("https://t.co/SgOmeL9Lks")</f>
        <v>https://t.co/SgOmeL9Lks</v>
      </c>
      <c r="AN156" s="83"/>
      <c r="AO156" s="85">
        <v>42457.518240740741</v>
      </c>
      <c r="AP156" s="88" t="str">
        <f>HYPERLINK("https://pbs.twimg.com/profile_banners/714428390632087552/1549074642")</f>
        <v>https://pbs.twimg.com/profile_banners/714428390632087552/1549074642</v>
      </c>
      <c r="AQ156" s="83" t="b">
        <v>0</v>
      </c>
      <c r="AR156" s="83" t="b">
        <v>0</v>
      </c>
      <c r="AS156" s="83" t="b">
        <v>0</v>
      </c>
      <c r="AT156" s="83"/>
      <c r="AU156" s="83">
        <v>4</v>
      </c>
      <c r="AV156" s="88" t="str">
        <f>HYPERLINK("http://abs.twimg.com/images/themes/theme1/bg.png")</f>
        <v>http://abs.twimg.com/images/themes/theme1/bg.png</v>
      </c>
      <c r="AW156" s="83" t="b">
        <v>0</v>
      </c>
      <c r="AX156" s="83" t="s">
        <v>2807</v>
      </c>
      <c r="AY156" s="88" t="str">
        <f>HYPERLINK("https://twitter.com/enlhyperi")</f>
        <v>https://twitter.com/enlhyperi</v>
      </c>
      <c r="AZ156" s="83" t="s">
        <v>66</v>
      </c>
      <c r="BA156" s="2"/>
      <c r="BB156" s="3"/>
      <c r="BC156" s="3"/>
      <c r="BD156" s="3"/>
      <c r="BE156" s="3"/>
    </row>
    <row r="157" spans="1:57" x14ac:dyDescent="0.2">
      <c r="A157" s="69" t="s">
        <v>348</v>
      </c>
      <c r="B157" s="70"/>
      <c r="C157" s="70"/>
      <c r="D157" s="71"/>
      <c r="E157" s="73"/>
      <c r="F157" s="109" t="str">
        <f>HYPERLINK("http://pbs.twimg.com/profile_images/1122800287469596678/zXM4gig-_normal.jpg")</f>
        <v>http://pbs.twimg.com/profile_images/1122800287469596678/zXM4gig-_normal.jpg</v>
      </c>
      <c r="G157" s="70"/>
      <c r="H157" s="74"/>
      <c r="I157" s="75"/>
      <c r="J157" s="75"/>
      <c r="K157" s="74" t="s">
        <v>2961</v>
      </c>
      <c r="L157" s="78"/>
      <c r="M157" s="79"/>
      <c r="N157" s="79"/>
      <c r="O157" s="80"/>
      <c r="P157" s="81"/>
      <c r="Q157" s="81"/>
      <c r="R157" s="93"/>
      <c r="S157" s="93"/>
      <c r="T157" s="93"/>
      <c r="U157" s="93"/>
      <c r="V157" s="52"/>
      <c r="W157" s="52"/>
      <c r="X157" s="52"/>
      <c r="Y157" s="52"/>
      <c r="Z157" s="51"/>
      <c r="AA157" s="76"/>
      <c r="AB157" s="76"/>
      <c r="AC157" s="77"/>
      <c r="AD157" s="83" t="s">
        <v>1982</v>
      </c>
      <c r="AE157" s="91" t="s">
        <v>1737</v>
      </c>
      <c r="AF157" s="83">
        <v>373</v>
      </c>
      <c r="AG157" s="83">
        <v>361</v>
      </c>
      <c r="AH157" s="83">
        <v>4493</v>
      </c>
      <c r="AI157" s="83">
        <v>6076</v>
      </c>
      <c r="AJ157" s="83"/>
      <c r="AK157" s="83" t="s">
        <v>2512</v>
      </c>
      <c r="AL157" s="83"/>
      <c r="AM157" s="83"/>
      <c r="AN157" s="83"/>
      <c r="AO157" s="85">
        <v>43516.55128472222</v>
      </c>
      <c r="AP157" s="83"/>
      <c r="AQ157" s="83" t="b">
        <v>1</v>
      </c>
      <c r="AR157" s="83" t="b">
        <v>0</v>
      </c>
      <c r="AS157" s="83" t="b">
        <v>0</v>
      </c>
      <c r="AT157" s="83"/>
      <c r="AU157" s="83">
        <v>7</v>
      </c>
      <c r="AV157" s="83"/>
      <c r="AW157" s="83" t="b">
        <v>0</v>
      </c>
      <c r="AX157" s="83" t="s">
        <v>2807</v>
      </c>
      <c r="AY157" s="88" t="str">
        <f>HYPERLINK("https://twitter.com/ultimasnorlax")</f>
        <v>https://twitter.com/ultimasnorlax</v>
      </c>
      <c r="AZ157" s="83" t="s">
        <v>66</v>
      </c>
      <c r="BA157" s="2"/>
      <c r="BB157" s="3"/>
      <c r="BC157" s="3"/>
      <c r="BD157" s="3"/>
      <c r="BE157" s="3"/>
    </row>
    <row r="158" spans="1:57" x14ac:dyDescent="0.2">
      <c r="A158" s="69" t="s">
        <v>349</v>
      </c>
      <c r="B158" s="70"/>
      <c r="C158" s="70"/>
      <c r="D158" s="71"/>
      <c r="E158" s="73"/>
      <c r="F158" s="109" t="str">
        <f>HYPERLINK("http://pbs.twimg.com/profile_images/1281516239441899521/hBwLcsWJ_normal.jpg")</f>
        <v>http://pbs.twimg.com/profile_images/1281516239441899521/hBwLcsWJ_normal.jpg</v>
      </c>
      <c r="G158" s="70"/>
      <c r="H158" s="74"/>
      <c r="I158" s="75"/>
      <c r="J158" s="75"/>
      <c r="K158" s="74" t="s">
        <v>2962</v>
      </c>
      <c r="L158" s="78"/>
      <c r="M158" s="79"/>
      <c r="N158" s="79"/>
      <c r="O158" s="80"/>
      <c r="P158" s="81"/>
      <c r="Q158" s="81"/>
      <c r="R158" s="93"/>
      <c r="S158" s="93"/>
      <c r="T158" s="93"/>
      <c r="U158" s="93"/>
      <c r="V158" s="52"/>
      <c r="W158" s="52"/>
      <c r="X158" s="52"/>
      <c r="Y158" s="52"/>
      <c r="Z158" s="51"/>
      <c r="AA158" s="76"/>
      <c r="AB158" s="76"/>
      <c r="AC158" s="77"/>
      <c r="AD158" s="83" t="s">
        <v>1983</v>
      </c>
      <c r="AE158" s="91" t="s">
        <v>2248</v>
      </c>
      <c r="AF158" s="83">
        <v>70</v>
      </c>
      <c r="AG158" s="83">
        <v>20</v>
      </c>
      <c r="AH158" s="83">
        <v>54</v>
      </c>
      <c r="AI158" s="83">
        <v>4</v>
      </c>
      <c r="AJ158" s="83"/>
      <c r="AK158" s="83" t="s">
        <v>2513</v>
      </c>
      <c r="AL158" s="83" t="s">
        <v>2736</v>
      </c>
      <c r="AM158" s="88" t="str">
        <f>HYPERLINK("https://t.co/nVTwu0UrfB")</f>
        <v>https://t.co/nVTwu0UrfB</v>
      </c>
      <c r="AN158" s="83"/>
      <c r="AO158" s="85">
        <v>44022.340902777774</v>
      </c>
      <c r="AP158" s="88" t="str">
        <f>HYPERLINK("https://pbs.twimg.com/profile_banners/1281500924557422593/1594372255")</f>
        <v>https://pbs.twimg.com/profile_banners/1281500924557422593/1594372255</v>
      </c>
      <c r="AQ158" s="83" t="b">
        <v>1</v>
      </c>
      <c r="AR158" s="83" t="b">
        <v>0</v>
      </c>
      <c r="AS158" s="83" t="b">
        <v>0</v>
      </c>
      <c r="AT158" s="83"/>
      <c r="AU158" s="83">
        <v>0</v>
      </c>
      <c r="AV158" s="83"/>
      <c r="AW158" s="83" t="b">
        <v>0</v>
      </c>
      <c r="AX158" s="83" t="s">
        <v>2807</v>
      </c>
      <c r="AY158" s="88" t="str">
        <f>HYPERLINK("https://twitter.com/kraschelinus")</f>
        <v>https://twitter.com/kraschelinus</v>
      </c>
      <c r="AZ158" s="83" t="s">
        <v>66</v>
      </c>
      <c r="BA158" s="2"/>
      <c r="BB158" s="3"/>
      <c r="BC158" s="3"/>
      <c r="BD158" s="3"/>
      <c r="BE158" s="3"/>
    </row>
    <row r="159" spans="1:57" x14ac:dyDescent="0.2">
      <c r="A159" s="69" t="s">
        <v>350</v>
      </c>
      <c r="B159" s="70"/>
      <c r="C159" s="70"/>
      <c r="D159" s="71"/>
      <c r="E159" s="73"/>
      <c r="F159" s="109" t="str">
        <f>HYPERLINK("http://pbs.twimg.com/profile_images/1274768283036610561/hZzQIzmE_normal.jpg")</f>
        <v>http://pbs.twimg.com/profile_images/1274768283036610561/hZzQIzmE_normal.jpg</v>
      </c>
      <c r="G159" s="70"/>
      <c r="H159" s="74"/>
      <c r="I159" s="75"/>
      <c r="J159" s="75"/>
      <c r="K159" s="74" t="s">
        <v>2963</v>
      </c>
      <c r="L159" s="78"/>
      <c r="M159" s="79"/>
      <c r="N159" s="79"/>
      <c r="O159" s="80"/>
      <c r="P159" s="81"/>
      <c r="Q159" s="81"/>
      <c r="R159" s="93"/>
      <c r="S159" s="93"/>
      <c r="T159" s="93"/>
      <c r="U159" s="93"/>
      <c r="V159" s="52"/>
      <c r="W159" s="52"/>
      <c r="X159" s="52"/>
      <c r="Y159" s="52"/>
      <c r="Z159" s="51"/>
      <c r="AA159" s="76"/>
      <c r="AB159" s="76"/>
      <c r="AC159" s="77"/>
      <c r="AD159" s="83" t="s">
        <v>1984</v>
      </c>
      <c r="AE159" s="91" t="s">
        <v>2249</v>
      </c>
      <c r="AF159" s="83">
        <v>690</v>
      </c>
      <c r="AG159" s="83">
        <v>451</v>
      </c>
      <c r="AH159" s="83">
        <v>11716</v>
      </c>
      <c r="AI159" s="83">
        <v>8830</v>
      </c>
      <c r="AJ159" s="83"/>
      <c r="AK159" s="83" t="s">
        <v>2514</v>
      </c>
      <c r="AL159" s="83" t="s">
        <v>2737</v>
      </c>
      <c r="AM159" s="83"/>
      <c r="AN159" s="83"/>
      <c r="AO159" s="85">
        <v>43249.915219907409</v>
      </c>
      <c r="AP159" s="88" t="str">
        <f>HYPERLINK("https://pbs.twimg.com/profile_banners/1001583441303945216/1592825371")</f>
        <v>https://pbs.twimg.com/profile_banners/1001583441303945216/1592825371</v>
      </c>
      <c r="AQ159" s="83" t="b">
        <v>1</v>
      </c>
      <c r="AR159" s="83" t="b">
        <v>0</v>
      </c>
      <c r="AS159" s="83" t="b">
        <v>1</v>
      </c>
      <c r="AT159" s="83"/>
      <c r="AU159" s="83">
        <v>2</v>
      </c>
      <c r="AV159" s="83"/>
      <c r="AW159" s="83" t="b">
        <v>0</v>
      </c>
      <c r="AX159" s="83" t="s">
        <v>2807</v>
      </c>
      <c r="AY159" s="88" t="str">
        <f>HYPERLINK("https://twitter.com/laki_global")</f>
        <v>https://twitter.com/laki_global</v>
      </c>
      <c r="AZ159" s="83" t="s">
        <v>66</v>
      </c>
      <c r="BA159" s="2"/>
      <c r="BB159" s="3"/>
      <c r="BC159" s="3"/>
      <c r="BD159" s="3"/>
      <c r="BE159" s="3"/>
    </row>
    <row r="160" spans="1:57" x14ac:dyDescent="0.2">
      <c r="A160" s="69" t="s">
        <v>351</v>
      </c>
      <c r="B160" s="70"/>
      <c r="C160" s="70"/>
      <c r="D160" s="71"/>
      <c r="E160" s="73"/>
      <c r="F160" s="109" t="str">
        <f>HYPERLINK("http://pbs.twimg.com/profile_images/1159427556908531712/IR3VKpG6_normal.jpg")</f>
        <v>http://pbs.twimg.com/profile_images/1159427556908531712/IR3VKpG6_normal.jpg</v>
      </c>
      <c r="G160" s="70"/>
      <c r="H160" s="74"/>
      <c r="I160" s="75"/>
      <c r="J160" s="75"/>
      <c r="K160" s="74" t="s">
        <v>2964</v>
      </c>
      <c r="L160" s="78"/>
      <c r="M160" s="79"/>
      <c r="N160" s="79"/>
      <c r="O160" s="80"/>
      <c r="P160" s="81"/>
      <c r="Q160" s="81"/>
      <c r="R160" s="93"/>
      <c r="S160" s="93"/>
      <c r="T160" s="93"/>
      <c r="U160" s="93"/>
      <c r="V160" s="52"/>
      <c r="W160" s="52"/>
      <c r="X160" s="52"/>
      <c r="Y160" s="52"/>
      <c r="Z160" s="51"/>
      <c r="AA160" s="76"/>
      <c r="AB160" s="76"/>
      <c r="AC160" s="77"/>
      <c r="AD160" s="83" t="s">
        <v>1985</v>
      </c>
      <c r="AE160" s="91" t="s">
        <v>2250</v>
      </c>
      <c r="AF160" s="83">
        <v>1356</v>
      </c>
      <c r="AG160" s="83">
        <v>1171</v>
      </c>
      <c r="AH160" s="83">
        <v>24536</v>
      </c>
      <c r="AI160" s="83">
        <v>95643</v>
      </c>
      <c r="AJ160" s="83"/>
      <c r="AK160" s="83" t="s">
        <v>2515</v>
      </c>
      <c r="AL160" s="83" t="s">
        <v>2738</v>
      </c>
      <c r="AM160" s="88" t="str">
        <f>HYPERLINK("https://t.co/XZf3B0SsoR")</f>
        <v>https://t.co/XZf3B0SsoR</v>
      </c>
      <c r="AN160" s="83"/>
      <c r="AO160" s="85">
        <v>42935.450844907406</v>
      </c>
      <c r="AP160" s="88" t="str">
        <f>HYPERLINK("https://pbs.twimg.com/profile_banners/887625364830167040/1586578443")</f>
        <v>https://pbs.twimg.com/profile_banners/887625364830167040/1586578443</v>
      </c>
      <c r="AQ160" s="83" t="b">
        <v>1</v>
      </c>
      <c r="AR160" s="83" t="b">
        <v>0</v>
      </c>
      <c r="AS160" s="83" t="b">
        <v>1</v>
      </c>
      <c r="AT160" s="83"/>
      <c r="AU160" s="83">
        <v>11</v>
      </c>
      <c r="AV160" s="83"/>
      <c r="AW160" s="83" t="b">
        <v>0</v>
      </c>
      <c r="AX160" s="83" t="s">
        <v>2807</v>
      </c>
      <c r="AY160" s="88" t="str">
        <f>HYPERLINK("https://twitter.com/yo828_")</f>
        <v>https://twitter.com/yo828_</v>
      </c>
      <c r="AZ160" s="83" t="s">
        <v>66</v>
      </c>
      <c r="BA160" s="2"/>
      <c r="BB160" s="3"/>
      <c r="BC160" s="3"/>
      <c r="BD160" s="3"/>
      <c r="BE160" s="3"/>
    </row>
    <row r="161" spans="1:57" x14ac:dyDescent="0.2">
      <c r="A161" s="69" t="s">
        <v>478</v>
      </c>
      <c r="B161" s="70"/>
      <c r="C161" s="70"/>
      <c r="D161" s="71"/>
      <c r="E161" s="73"/>
      <c r="F161" s="109" t="str">
        <f>HYPERLINK("http://pbs.twimg.com/profile_images/1272986302154067968/F92jzLIq_normal.jpg")</f>
        <v>http://pbs.twimg.com/profile_images/1272986302154067968/F92jzLIq_normal.jpg</v>
      </c>
      <c r="G161" s="70"/>
      <c r="H161" s="74"/>
      <c r="I161" s="75"/>
      <c r="J161" s="75"/>
      <c r="K161" s="74" t="s">
        <v>2965</v>
      </c>
      <c r="L161" s="78"/>
      <c r="M161" s="79"/>
      <c r="N161" s="79"/>
      <c r="O161" s="80"/>
      <c r="P161" s="81"/>
      <c r="Q161" s="81"/>
      <c r="R161" s="93"/>
      <c r="S161" s="93"/>
      <c r="T161" s="93"/>
      <c r="U161" s="93"/>
      <c r="V161" s="52"/>
      <c r="W161" s="52"/>
      <c r="X161" s="52"/>
      <c r="Y161" s="52"/>
      <c r="Z161" s="51"/>
      <c r="AA161" s="76"/>
      <c r="AB161" s="76"/>
      <c r="AC161" s="77"/>
      <c r="AD161" s="83" t="s">
        <v>1986</v>
      </c>
      <c r="AE161" s="91" t="s">
        <v>2251</v>
      </c>
      <c r="AF161" s="83">
        <v>21</v>
      </c>
      <c r="AG161" s="83">
        <v>32689</v>
      </c>
      <c r="AH161" s="83">
        <v>559</v>
      </c>
      <c r="AI161" s="83">
        <v>366</v>
      </c>
      <c r="AJ161" s="83"/>
      <c r="AK161" s="83" t="s">
        <v>2516</v>
      </c>
      <c r="AL161" s="83" t="s">
        <v>1789</v>
      </c>
      <c r="AM161" s="88" t="str">
        <f>HYPERLINK("https://t.co/taSeMyH7TR")</f>
        <v>https://t.co/taSeMyH7TR</v>
      </c>
      <c r="AN161" s="83"/>
      <c r="AO161" s="85">
        <v>43314.033125000002</v>
      </c>
      <c r="AP161" s="88" t="str">
        <f>HYPERLINK("https://pbs.twimg.com/profile_banners/1024818992995753984/1533171315")</f>
        <v>https://pbs.twimg.com/profile_banners/1024818992995753984/1533171315</v>
      </c>
      <c r="AQ161" s="83" t="b">
        <v>0</v>
      </c>
      <c r="AR161" s="83" t="b">
        <v>0</v>
      </c>
      <c r="AS161" s="83" t="b">
        <v>0</v>
      </c>
      <c r="AT161" s="83"/>
      <c r="AU161" s="83">
        <v>353</v>
      </c>
      <c r="AV161" s="88" t="str">
        <f>HYPERLINK("http://abs.twimg.com/images/themes/theme1/bg.png")</f>
        <v>http://abs.twimg.com/images/themes/theme1/bg.png</v>
      </c>
      <c r="AW161" s="83" t="b">
        <v>1</v>
      </c>
      <c r="AX161" s="83" t="s">
        <v>2807</v>
      </c>
      <c r="AY161" s="88" t="str">
        <f>HYPERLINK("https://twitter.com/nianticjp")</f>
        <v>https://twitter.com/nianticjp</v>
      </c>
      <c r="AZ161" s="83" t="s">
        <v>65</v>
      </c>
      <c r="BA161" s="2"/>
      <c r="BB161" s="3"/>
      <c r="BC161" s="3"/>
      <c r="BD161" s="3"/>
      <c r="BE161" s="3"/>
    </row>
    <row r="162" spans="1:57" x14ac:dyDescent="0.2">
      <c r="A162" s="69" t="s">
        <v>479</v>
      </c>
      <c r="B162" s="70"/>
      <c r="C162" s="70"/>
      <c r="D162" s="71"/>
      <c r="E162" s="73"/>
      <c r="F162" s="109" t="str">
        <f>HYPERLINK("http://pbs.twimg.com/profile_images/1075848199905001472/ovmjbLsf_normal.jpg")</f>
        <v>http://pbs.twimg.com/profile_images/1075848199905001472/ovmjbLsf_normal.jpg</v>
      </c>
      <c r="G162" s="70"/>
      <c r="H162" s="74"/>
      <c r="I162" s="75"/>
      <c r="J162" s="75"/>
      <c r="K162" s="74" t="s">
        <v>2966</v>
      </c>
      <c r="L162" s="78"/>
      <c r="M162" s="79"/>
      <c r="N162" s="79"/>
      <c r="O162" s="80"/>
      <c r="P162" s="81"/>
      <c r="Q162" s="81"/>
      <c r="R162" s="93"/>
      <c r="S162" s="93"/>
      <c r="T162" s="93"/>
      <c r="U162" s="93"/>
      <c r="V162" s="52"/>
      <c r="W162" s="52"/>
      <c r="X162" s="52"/>
      <c r="Y162" s="52"/>
      <c r="Z162" s="51"/>
      <c r="AA162" s="76"/>
      <c r="AB162" s="76"/>
      <c r="AC162" s="77"/>
      <c r="AD162" s="83" t="s">
        <v>1987</v>
      </c>
      <c r="AE162" s="91" t="s">
        <v>2252</v>
      </c>
      <c r="AF162" s="83">
        <v>7</v>
      </c>
      <c r="AG162" s="83">
        <v>96962</v>
      </c>
      <c r="AH162" s="83">
        <v>631</v>
      </c>
      <c r="AI162" s="83">
        <v>4</v>
      </c>
      <c r="AJ162" s="83"/>
      <c r="AK162" s="83" t="s">
        <v>2517</v>
      </c>
      <c r="AL162" s="83" t="s">
        <v>2648</v>
      </c>
      <c r="AM162" s="88" t="str">
        <f>HYPERLINK("https://t.co/BOy6KaV0qC")</f>
        <v>https://t.co/BOy6KaV0qC</v>
      </c>
      <c r="AN162" s="83"/>
      <c r="AO162" s="85">
        <v>43363.346064814818</v>
      </c>
      <c r="AP162" s="88" t="str">
        <f>HYPERLINK("https://pbs.twimg.com/profile_banners/1042689400725954562/1539349898")</f>
        <v>https://pbs.twimg.com/profile_banners/1042689400725954562/1539349898</v>
      </c>
      <c r="AQ162" s="83" t="b">
        <v>0</v>
      </c>
      <c r="AR162" s="83" t="b">
        <v>0</v>
      </c>
      <c r="AS162" s="83" t="b">
        <v>0</v>
      </c>
      <c r="AT162" s="83"/>
      <c r="AU162" s="83">
        <v>764</v>
      </c>
      <c r="AV162" s="88" t="str">
        <f>HYPERLINK("http://abs.twimg.com/images/themes/theme1/bg.png")</f>
        <v>http://abs.twimg.com/images/themes/theme1/bg.png</v>
      </c>
      <c r="AW162" s="83" t="b">
        <v>1</v>
      </c>
      <c r="AX162" s="83" t="s">
        <v>2807</v>
      </c>
      <c r="AY162" s="88" t="str">
        <f>HYPERLINK("https://twitter.com/niantichelpjp")</f>
        <v>https://twitter.com/niantichelpjp</v>
      </c>
      <c r="AZ162" s="83" t="s">
        <v>65</v>
      </c>
      <c r="BA162" s="2"/>
      <c r="BB162" s="3"/>
      <c r="BC162" s="3"/>
      <c r="BD162" s="3"/>
      <c r="BE162" s="3"/>
    </row>
    <row r="163" spans="1:57" x14ac:dyDescent="0.2">
      <c r="A163" s="69" t="s">
        <v>352</v>
      </c>
      <c r="B163" s="70"/>
      <c r="C163" s="70"/>
      <c r="D163" s="71"/>
      <c r="E163" s="73"/>
      <c r="F163" s="109" t="str">
        <f>HYPERLINK("http://pbs.twimg.com/profile_images/1252506436858531840/0mC38iF6_normal.jpg")</f>
        <v>http://pbs.twimg.com/profile_images/1252506436858531840/0mC38iF6_normal.jpg</v>
      </c>
      <c r="G163" s="70"/>
      <c r="H163" s="74"/>
      <c r="I163" s="75"/>
      <c r="J163" s="75"/>
      <c r="K163" s="74" t="s">
        <v>2967</v>
      </c>
      <c r="L163" s="78"/>
      <c r="M163" s="79"/>
      <c r="N163" s="79"/>
      <c r="O163" s="80"/>
      <c r="P163" s="81"/>
      <c r="Q163" s="81"/>
      <c r="R163" s="93"/>
      <c r="S163" s="93"/>
      <c r="T163" s="93"/>
      <c r="U163" s="93"/>
      <c r="V163" s="52"/>
      <c r="W163" s="52"/>
      <c r="X163" s="52"/>
      <c r="Y163" s="52"/>
      <c r="Z163" s="51"/>
      <c r="AA163" s="76"/>
      <c r="AB163" s="76"/>
      <c r="AC163" s="77"/>
      <c r="AD163" s="83" t="s">
        <v>1988</v>
      </c>
      <c r="AE163" s="91" t="s">
        <v>2253</v>
      </c>
      <c r="AF163" s="83">
        <v>1114</v>
      </c>
      <c r="AG163" s="83">
        <v>3384</v>
      </c>
      <c r="AH163" s="83">
        <v>172244</v>
      </c>
      <c r="AI163" s="83">
        <v>177099</v>
      </c>
      <c r="AJ163" s="83"/>
      <c r="AK163" s="83" t="s">
        <v>2518</v>
      </c>
      <c r="AL163" s="83" t="s">
        <v>2739</v>
      </c>
      <c r="AM163" s="88" t="str">
        <f>HYPERLINK("https://t.co/19JDOcyfor")</f>
        <v>https://t.co/19JDOcyfor</v>
      </c>
      <c r="AN163" s="83"/>
      <c r="AO163" s="85">
        <v>43140.700428240743</v>
      </c>
      <c r="AP163" s="88" t="str">
        <f>HYPERLINK("https://pbs.twimg.com/profile_banners/962005325304889344/1593548277")</f>
        <v>https://pbs.twimg.com/profile_banners/962005325304889344/1593548277</v>
      </c>
      <c r="AQ163" s="83" t="b">
        <v>1</v>
      </c>
      <c r="AR163" s="83" t="b">
        <v>0</v>
      </c>
      <c r="AS163" s="83" t="b">
        <v>0</v>
      </c>
      <c r="AT163" s="83"/>
      <c r="AU163" s="83">
        <v>7</v>
      </c>
      <c r="AV163" s="83"/>
      <c r="AW163" s="83" t="b">
        <v>0</v>
      </c>
      <c r="AX163" s="83" t="s">
        <v>2807</v>
      </c>
      <c r="AY163" s="88" t="str">
        <f>HYPERLINK("https://twitter.com/renesaenz17")</f>
        <v>https://twitter.com/renesaenz17</v>
      </c>
      <c r="AZ163" s="83" t="s">
        <v>66</v>
      </c>
      <c r="BA163" s="2"/>
      <c r="BB163" s="3"/>
      <c r="BC163" s="3"/>
      <c r="BD163" s="3"/>
      <c r="BE163" s="3"/>
    </row>
    <row r="164" spans="1:57" x14ac:dyDescent="0.2">
      <c r="A164" s="69" t="s">
        <v>456</v>
      </c>
      <c r="B164" s="70"/>
      <c r="C164" s="70"/>
      <c r="D164" s="71"/>
      <c r="E164" s="73"/>
      <c r="F164" s="109" t="str">
        <f>HYPERLINK("http://pbs.twimg.com/profile_images/1166666423713746945/KS63Hdx5_normal.jpg")</f>
        <v>http://pbs.twimg.com/profile_images/1166666423713746945/KS63Hdx5_normal.jpg</v>
      </c>
      <c r="G164" s="70"/>
      <c r="H164" s="74"/>
      <c r="I164" s="75"/>
      <c r="J164" s="75"/>
      <c r="K164" s="74" t="s">
        <v>2968</v>
      </c>
      <c r="L164" s="78"/>
      <c r="M164" s="79"/>
      <c r="N164" s="79"/>
      <c r="O164" s="80"/>
      <c r="P164" s="81"/>
      <c r="Q164" s="81"/>
      <c r="R164" s="93"/>
      <c r="S164" s="93"/>
      <c r="T164" s="93"/>
      <c r="U164" s="93"/>
      <c r="V164" s="52"/>
      <c r="W164" s="52"/>
      <c r="X164" s="52"/>
      <c r="Y164" s="52"/>
      <c r="Z164" s="51"/>
      <c r="AA164" s="76"/>
      <c r="AB164" s="76"/>
      <c r="AC164" s="77"/>
      <c r="AD164" s="83" t="s">
        <v>1989</v>
      </c>
      <c r="AE164" s="91" t="s">
        <v>1738</v>
      </c>
      <c r="AF164" s="83">
        <v>1253</v>
      </c>
      <c r="AG164" s="83">
        <v>2525</v>
      </c>
      <c r="AH164" s="83">
        <v>6697</v>
      </c>
      <c r="AI164" s="83">
        <v>6319</v>
      </c>
      <c r="AJ164" s="83"/>
      <c r="AK164" s="83" t="s">
        <v>2519</v>
      </c>
      <c r="AL164" s="83" t="s">
        <v>2740</v>
      </c>
      <c r="AM164" s="88" t="str">
        <f>HYPERLINK("https://t.co/EUJasaNtFM")</f>
        <v>https://t.co/EUJasaNtFM</v>
      </c>
      <c r="AN164" s="83"/>
      <c r="AO164" s="85">
        <v>43638.816365740742</v>
      </c>
      <c r="AP164" s="88" t="str">
        <f>HYPERLINK("https://pbs.twimg.com/profile_banners/1142516496653934592/1565668969")</f>
        <v>https://pbs.twimg.com/profile_banners/1142516496653934592/1565668969</v>
      </c>
      <c r="AQ164" s="83" t="b">
        <v>1</v>
      </c>
      <c r="AR164" s="83" t="b">
        <v>0</v>
      </c>
      <c r="AS164" s="83" t="b">
        <v>0</v>
      </c>
      <c r="AT164" s="83"/>
      <c r="AU164" s="83">
        <v>5</v>
      </c>
      <c r="AV164" s="83"/>
      <c r="AW164" s="83" t="b">
        <v>0</v>
      </c>
      <c r="AX164" s="83" t="s">
        <v>2807</v>
      </c>
      <c r="AY164" s="88" t="str">
        <f>HYPERLINK("https://twitter.com/freesuperhero1")</f>
        <v>https://twitter.com/freesuperhero1</v>
      </c>
      <c r="AZ164" s="83" t="s">
        <v>66</v>
      </c>
      <c r="BA164" s="2"/>
      <c r="BB164" s="3"/>
      <c r="BC164" s="3"/>
      <c r="BD164" s="3"/>
      <c r="BE164" s="3"/>
    </row>
    <row r="165" spans="1:57" x14ac:dyDescent="0.2">
      <c r="A165" s="69" t="s">
        <v>353</v>
      </c>
      <c r="B165" s="70"/>
      <c r="C165" s="70"/>
      <c r="D165" s="71"/>
      <c r="E165" s="73"/>
      <c r="F165" s="109" t="str">
        <f>HYPERLINK("http://pbs.twimg.com/profile_images/1274880199901843456/zoMDEvYR_normal.jpg")</f>
        <v>http://pbs.twimg.com/profile_images/1274880199901843456/zoMDEvYR_normal.jpg</v>
      </c>
      <c r="G165" s="70"/>
      <c r="H165" s="74"/>
      <c r="I165" s="75"/>
      <c r="J165" s="75"/>
      <c r="K165" s="74" t="s">
        <v>2969</v>
      </c>
      <c r="L165" s="78"/>
      <c r="M165" s="79"/>
      <c r="N165" s="79"/>
      <c r="O165" s="80"/>
      <c r="P165" s="81"/>
      <c r="Q165" s="81"/>
      <c r="R165" s="93"/>
      <c r="S165" s="93"/>
      <c r="T165" s="93"/>
      <c r="U165" s="93"/>
      <c r="V165" s="52"/>
      <c r="W165" s="52"/>
      <c r="X165" s="52"/>
      <c r="Y165" s="52"/>
      <c r="Z165" s="51"/>
      <c r="AA165" s="76"/>
      <c r="AB165" s="76"/>
      <c r="AC165" s="77"/>
      <c r="AD165" s="83" t="s">
        <v>1990</v>
      </c>
      <c r="AE165" s="91" t="s">
        <v>2254</v>
      </c>
      <c r="AF165" s="83">
        <v>2814</v>
      </c>
      <c r="AG165" s="83">
        <v>1861</v>
      </c>
      <c r="AH165" s="83">
        <v>2721</v>
      </c>
      <c r="AI165" s="83">
        <v>2569</v>
      </c>
      <c r="AJ165" s="83"/>
      <c r="AK165" s="83" t="s">
        <v>2520</v>
      </c>
      <c r="AL165" s="83" t="s">
        <v>2741</v>
      </c>
      <c r="AM165" s="83"/>
      <c r="AN165" s="83"/>
      <c r="AO165" s="85">
        <v>43436.716446759259</v>
      </c>
      <c r="AP165" s="88" t="str">
        <f>HYPERLINK("https://pbs.twimg.com/profile_banners/1069277938955149312/1543915054")</f>
        <v>https://pbs.twimg.com/profile_banners/1069277938955149312/1543915054</v>
      </c>
      <c r="AQ165" s="83" t="b">
        <v>1</v>
      </c>
      <c r="AR165" s="83" t="b">
        <v>0</v>
      </c>
      <c r="AS165" s="83" t="b">
        <v>0</v>
      </c>
      <c r="AT165" s="83"/>
      <c r="AU165" s="83">
        <v>0</v>
      </c>
      <c r="AV165" s="83"/>
      <c r="AW165" s="83" t="b">
        <v>0</v>
      </c>
      <c r="AX165" s="83" t="s">
        <v>2807</v>
      </c>
      <c r="AY165" s="88" t="str">
        <f>HYPERLINK("https://twitter.com/hugh_nonymous")</f>
        <v>https://twitter.com/hugh_nonymous</v>
      </c>
      <c r="AZ165" s="83" t="s">
        <v>66</v>
      </c>
      <c r="BA165" s="2"/>
      <c r="BB165" s="3"/>
      <c r="BC165" s="3"/>
      <c r="BD165" s="3"/>
      <c r="BE165" s="3"/>
    </row>
    <row r="166" spans="1:57" x14ac:dyDescent="0.2">
      <c r="A166" s="69" t="s">
        <v>354</v>
      </c>
      <c r="B166" s="70"/>
      <c r="C166" s="70"/>
      <c r="D166" s="71"/>
      <c r="E166" s="73"/>
      <c r="F166" s="109" t="str">
        <f>HYPERLINK("http://pbs.twimg.com/profile_images/2872569681/e4aea34c1e304be0bd1c6e7c3766ef63_normal.jpeg")</f>
        <v>http://pbs.twimg.com/profile_images/2872569681/e4aea34c1e304be0bd1c6e7c3766ef63_normal.jpeg</v>
      </c>
      <c r="G166" s="70"/>
      <c r="H166" s="74"/>
      <c r="I166" s="75"/>
      <c r="J166" s="75"/>
      <c r="K166" s="74" t="s">
        <v>2970</v>
      </c>
      <c r="L166" s="78"/>
      <c r="M166" s="79"/>
      <c r="N166" s="79"/>
      <c r="O166" s="80"/>
      <c r="P166" s="81"/>
      <c r="Q166" s="81"/>
      <c r="R166" s="93"/>
      <c r="S166" s="93"/>
      <c r="T166" s="93"/>
      <c r="U166" s="93"/>
      <c r="V166" s="52"/>
      <c r="W166" s="52"/>
      <c r="X166" s="52"/>
      <c r="Y166" s="52"/>
      <c r="Z166" s="51"/>
      <c r="AA166" s="76"/>
      <c r="AB166" s="76"/>
      <c r="AC166" s="77"/>
      <c r="AD166" s="83" t="s">
        <v>1991</v>
      </c>
      <c r="AE166" s="91" t="s">
        <v>2255</v>
      </c>
      <c r="AF166" s="83">
        <v>602</v>
      </c>
      <c r="AG166" s="83">
        <v>36</v>
      </c>
      <c r="AH166" s="83">
        <v>2812</v>
      </c>
      <c r="AI166" s="83">
        <v>1456</v>
      </c>
      <c r="AJ166" s="83"/>
      <c r="AK166" s="83" t="s">
        <v>2521</v>
      </c>
      <c r="AL166" s="83"/>
      <c r="AM166" s="83"/>
      <c r="AN166" s="83"/>
      <c r="AO166" s="85">
        <v>41233.256354166668</v>
      </c>
      <c r="AP166" s="83"/>
      <c r="AQ166" s="83" t="b">
        <v>1</v>
      </c>
      <c r="AR166" s="83" t="b">
        <v>0</v>
      </c>
      <c r="AS166" s="83" t="b">
        <v>0</v>
      </c>
      <c r="AT166" s="83"/>
      <c r="AU166" s="83">
        <v>0</v>
      </c>
      <c r="AV166" s="88" t="str">
        <f>HYPERLINK("http://abs.twimg.com/images/themes/theme1/bg.png")</f>
        <v>http://abs.twimg.com/images/themes/theme1/bg.png</v>
      </c>
      <c r="AW166" s="83" t="b">
        <v>0</v>
      </c>
      <c r="AX166" s="83" t="s">
        <v>2807</v>
      </c>
      <c r="AY166" s="88" t="str">
        <f>HYPERLINK("https://twitter.com/armendqaushi")</f>
        <v>https://twitter.com/armendqaushi</v>
      </c>
      <c r="AZ166" s="83" t="s">
        <v>66</v>
      </c>
      <c r="BA166" s="2"/>
      <c r="BB166" s="3"/>
      <c r="BC166" s="3"/>
      <c r="BD166" s="3"/>
      <c r="BE166" s="3"/>
    </row>
    <row r="167" spans="1:57" x14ac:dyDescent="0.2">
      <c r="A167" s="69" t="s">
        <v>355</v>
      </c>
      <c r="B167" s="70"/>
      <c r="C167" s="70"/>
      <c r="D167" s="71"/>
      <c r="E167" s="73"/>
      <c r="F167" s="109" t="str">
        <f>HYPERLINK("http://pbs.twimg.com/profile_images/615335092987297792/vHYdT-PO_normal.jpg")</f>
        <v>http://pbs.twimg.com/profile_images/615335092987297792/vHYdT-PO_normal.jpg</v>
      </c>
      <c r="G167" s="70"/>
      <c r="H167" s="74"/>
      <c r="I167" s="75"/>
      <c r="J167" s="75"/>
      <c r="K167" s="74" t="s">
        <v>2971</v>
      </c>
      <c r="L167" s="78"/>
      <c r="M167" s="79"/>
      <c r="N167" s="79"/>
      <c r="O167" s="80"/>
      <c r="P167" s="81"/>
      <c r="Q167" s="81"/>
      <c r="R167" s="93"/>
      <c r="S167" s="93"/>
      <c r="T167" s="93"/>
      <c r="U167" s="93"/>
      <c r="V167" s="52"/>
      <c r="W167" s="52"/>
      <c r="X167" s="52"/>
      <c r="Y167" s="52"/>
      <c r="Z167" s="51"/>
      <c r="AA167" s="76"/>
      <c r="AB167" s="76"/>
      <c r="AC167" s="77"/>
      <c r="AD167" s="83" t="s">
        <v>1992</v>
      </c>
      <c r="AE167" s="91" t="s">
        <v>2256</v>
      </c>
      <c r="AF167" s="83">
        <v>1104</v>
      </c>
      <c r="AG167" s="83">
        <v>3808</v>
      </c>
      <c r="AH167" s="83">
        <v>214294</v>
      </c>
      <c r="AI167" s="83">
        <v>55729</v>
      </c>
      <c r="AJ167" s="83"/>
      <c r="AK167" s="83" t="s">
        <v>2522</v>
      </c>
      <c r="AL167" s="83" t="s">
        <v>2742</v>
      </c>
      <c r="AM167" s="88" t="str">
        <f>HYPERLINK("https://t.co/vmdfQeKZkk")</f>
        <v>https://t.co/vmdfQeKZkk</v>
      </c>
      <c r="AN167" s="83"/>
      <c r="AO167" s="85">
        <v>40000.798831018517</v>
      </c>
      <c r="AP167" s="88" t="str">
        <f>HYPERLINK("https://pbs.twimg.com/profile_banners/54300359/1588685699")</f>
        <v>https://pbs.twimg.com/profile_banners/54300359/1588685699</v>
      </c>
      <c r="AQ167" s="83" t="b">
        <v>0</v>
      </c>
      <c r="AR167" s="83" t="b">
        <v>0</v>
      </c>
      <c r="AS167" s="83" t="b">
        <v>1</v>
      </c>
      <c r="AT167" s="83"/>
      <c r="AU167" s="83">
        <v>84</v>
      </c>
      <c r="AV167" s="88" t="str">
        <f>HYPERLINK("http://abs.twimg.com/images/themes/theme9/bg.gif")</f>
        <v>http://abs.twimg.com/images/themes/theme9/bg.gif</v>
      </c>
      <c r="AW167" s="83" t="b">
        <v>0</v>
      </c>
      <c r="AX167" s="83" t="s">
        <v>2807</v>
      </c>
      <c r="AY167" s="88" t="str">
        <f>HYPERLINK("https://twitter.com/bim_star")</f>
        <v>https://twitter.com/bim_star</v>
      </c>
      <c r="AZ167" s="83" t="s">
        <v>66</v>
      </c>
      <c r="BA167" s="2"/>
      <c r="BB167" s="3"/>
      <c r="BC167" s="3"/>
      <c r="BD167" s="3"/>
      <c r="BE167" s="3"/>
    </row>
    <row r="168" spans="1:57" x14ac:dyDescent="0.2">
      <c r="A168" s="69" t="s">
        <v>356</v>
      </c>
      <c r="B168" s="70"/>
      <c r="C168" s="70"/>
      <c r="D168" s="71"/>
      <c r="E168" s="73"/>
      <c r="F168" s="109" t="str">
        <f>HYPERLINK("http://pbs.twimg.com/profile_images/1223010045652295683/niOy0v8M_normal.jpg")</f>
        <v>http://pbs.twimg.com/profile_images/1223010045652295683/niOy0v8M_normal.jpg</v>
      </c>
      <c r="G168" s="70"/>
      <c r="H168" s="74"/>
      <c r="I168" s="75"/>
      <c r="J168" s="75"/>
      <c r="K168" s="74" t="s">
        <v>2972</v>
      </c>
      <c r="L168" s="78"/>
      <c r="M168" s="79"/>
      <c r="N168" s="79"/>
      <c r="O168" s="80"/>
      <c r="P168" s="81"/>
      <c r="Q168" s="81"/>
      <c r="R168" s="93"/>
      <c r="S168" s="93"/>
      <c r="T168" s="93"/>
      <c r="U168" s="93"/>
      <c r="V168" s="52"/>
      <c r="W168" s="52"/>
      <c r="X168" s="52"/>
      <c r="Y168" s="52"/>
      <c r="Z168" s="51"/>
      <c r="AA168" s="76"/>
      <c r="AB168" s="76"/>
      <c r="AC168" s="77"/>
      <c r="AD168" s="83" t="s">
        <v>1993</v>
      </c>
      <c r="AE168" s="91" t="s">
        <v>2257</v>
      </c>
      <c r="AF168" s="83">
        <v>1288</v>
      </c>
      <c r="AG168" s="83">
        <v>899</v>
      </c>
      <c r="AH168" s="83">
        <v>26887</v>
      </c>
      <c r="AI168" s="83">
        <v>12861</v>
      </c>
      <c r="AJ168" s="83"/>
      <c r="AK168" s="83" t="s">
        <v>2523</v>
      </c>
      <c r="AL168" s="83" t="s">
        <v>2663</v>
      </c>
      <c r="AM168" s="83"/>
      <c r="AN168" s="83"/>
      <c r="AO168" s="85">
        <v>43651.117858796293</v>
      </c>
      <c r="AP168" s="88" t="str">
        <f>HYPERLINK("https://pbs.twimg.com/profile_banners/1146974409405550592/1589262717")</f>
        <v>https://pbs.twimg.com/profile_banners/1146974409405550592/1589262717</v>
      </c>
      <c r="AQ168" s="83" t="b">
        <v>1</v>
      </c>
      <c r="AR168" s="83" t="b">
        <v>0</v>
      </c>
      <c r="AS168" s="83" t="b">
        <v>0</v>
      </c>
      <c r="AT168" s="83"/>
      <c r="AU168" s="83">
        <v>1</v>
      </c>
      <c r="AV168" s="83"/>
      <c r="AW168" s="83" t="b">
        <v>0</v>
      </c>
      <c r="AX168" s="83" t="s">
        <v>2807</v>
      </c>
      <c r="AY168" s="88" t="str">
        <f>HYPERLINK("https://twitter.com/anthonyspradl12")</f>
        <v>https://twitter.com/anthonyspradl12</v>
      </c>
      <c r="AZ168" s="83" t="s">
        <v>66</v>
      </c>
      <c r="BA168" s="2"/>
      <c r="BB168" s="3"/>
      <c r="BC168" s="3"/>
      <c r="BD168" s="3"/>
      <c r="BE168" s="3"/>
    </row>
    <row r="169" spans="1:57" x14ac:dyDescent="0.2">
      <c r="A169" s="69" t="s">
        <v>357</v>
      </c>
      <c r="B169" s="70"/>
      <c r="C169" s="70"/>
      <c r="D169" s="71"/>
      <c r="E169" s="73"/>
      <c r="F169" s="109" t="str">
        <f>HYPERLINK("http://pbs.twimg.com/profile_images/914368413673259009/gmggw-BO_normal.jpg")</f>
        <v>http://pbs.twimg.com/profile_images/914368413673259009/gmggw-BO_normal.jpg</v>
      </c>
      <c r="G169" s="70"/>
      <c r="H169" s="74"/>
      <c r="I169" s="75"/>
      <c r="J169" s="75"/>
      <c r="K169" s="74" t="s">
        <v>2973</v>
      </c>
      <c r="L169" s="78"/>
      <c r="M169" s="79"/>
      <c r="N169" s="79"/>
      <c r="O169" s="80"/>
      <c r="P169" s="81"/>
      <c r="Q169" s="81"/>
      <c r="R169" s="93"/>
      <c r="S169" s="93"/>
      <c r="T169" s="93"/>
      <c r="U169" s="93"/>
      <c r="V169" s="52"/>
      <c r="W169" s="52"/>
      <c r="X169" s="52"/>
      <c r="Y169" s="52"/>
      <c r="Z169" s="51"/>
      <c r="AA169" s="76"/>
      <c r="AB169" s="76"/>
      <c r="AC169" s="77"/>
      <c r="AD169" s="83" t="s">
        <v>1994</v>
      </c>
      <c r="AE169" s="91" t="s">
        <v>2258</v>
      </c>
      <c r="AF169" s="83">
        <v>869</v>
      </c>
      <c r="AG169" s="83">
        <v>588</v>
      </c>
      <c r="AH169" s="83">
        <v>14266</v>
      </c>
      <c r="AI169" s="83">
        <v>38922</v>
      </c>
      <c r="AJ169" s="83"/>
      <c r="AK169" s="83" t="s">
        <v>2524</v>
      </c>
      <c r="AL169" s="83"/>
      <c r="AM169" s="83"/>
      <c r="AN169" s="83"/>
      <c r="AO169" s="85">
        <v>43009.237939814811</v>
      </c>
      <c r="AP169" s="88" t="str">
        <f>HYPERLINK("https://pbs.twimg.com/profile_banners/914364913614589952/1571406575")</f>
        <v>https://pbs.twimg.com/profile_banners/914364913614589952/1571406575</v>
      </c>
      <c r="AQ169" s="83" t="b">
        <v>0</v>
      </c>
      <c r="AR169" s="83" t="b">
        <v>0</v>
      </c>
      <c r="AS169" s="83" t="b">
        <v>0</v>
      </c>
      <c r="AT169" s="83"/>
      <c r="AU169" s="83">
        <v>12</v>
      </c>
      <c r="AV169" s="88" t="str">
        <f>HYPERLINK("http://abs.twimg.com/images/themes/theme1/bg.png")</f>
        <v>http://abs.twimg.com/images/themes/theme1/bg.png</v>
      </c>
      <c r="AW169" s="83" t="b">
        <v>0</v>
      </c>
      <c r="AX169" s="83" t="s">
        <v>2807</v>
      </c>
      <c r="AY169" s="88" t="str">
        <f>HYPERLINK("https://twitter.com/magicalthorn")</f>
        <v>https://twitter.com/magicalthorn</v>
      </c>
      <c r="AZ169" s="83" t="s">
        <v>66</v>
      </c>
      <c r="BA169" s="2"/>
      <c r="BB169" s="3"/>
      <c r="BC169" s="3"/>
      <c r="BD169" s="3"/>
      <c r="BE169" s="3"/>
    </row>
    <row r="170" spans="1:57" x14ac:dyDescent="0.2">
      <c r="A170" s="69" t="s">
        <v>358</v>
      </c>
      <c r="B170" s="70"/>
      <c r="C170" s="70"/>
      <c r="D170" s="71"/>
      <c r="E170" s="73"/>
      <c r="F170" s="109" t="str">
        <f>HYPERLINK("http://pbs.twimg.com/profile_images/1267627889660358661/I8WWBc7x_normal.jpg")</f>
        <v>http://pbs.twimg.com/profile_images/1267627889660358661/I8WWBc7x_normal.jpg</v>
      </c>
      <c r="G170" s="70"/>
      <c r="H170" s="74"/>
      <c r="I170" s="75"/>
      <c r="J170" s="75"/>
      <c r="K170" s="74" t="s">
        <v>2974</v>
      </c>
      <c r="L170" s="78"/>
      <c r="M170" s="79"/>
      <c r="N170" s="79"/>
      <c r="O170" s="80"/>
      <c r="P170" s="81"/>
      <c r="Q170" s="81"/>
      <c r="R170" s="93"/>
      <c r="S170" s="93"/>
      <c r="T170" s="93"/>
      <c r="U170" s="93"/>
      <c r="V170" s="52"/>
      <c r="W170" s="52"/>
      <c r="X170" s="52"/>
      <c r="Y170" s="52"/>
      <c r="Z170" s="51"/>
      <c r="AA170" s="76"/>
      <c r="AB170" s="76"/>
      <c r="AC170" s="77"/>
      <c r="AD170" s="83" t="s">
        <v>1995</v>
      </c>
      <c r="AE170" s="91" t="s">
        <v>2259</v>
      </c>
      <c r="AF170" s="83">
        <v>1023</v>
      </c>
      <c r="AG170" s="83">
        <v>2204</v>
      </c>
      <c r="AH170" s="83">
        <v>23939</v>
      </c>
      <c r="AI170" s="83">
        <v>64352</v>
      </c>
      <c r="AJ170" s="83"/>
      <c r="AK170" s="83" t="s">
        <v>2525</v>
      </c>
      <c r="AL170" s="83" t="s">
        <v>2743</v>
      </c>
      <c r="AM170" s="83"/>
      <c r="AN170" s="83"/>
      <c r="AO170" s="85">
        <v>43404.58016203704</v>
      </c>
      <c r="AP170" s="88" t="str">
        <f>HYPERLINK("https://pbs.twimg.com/profile_banners/1057632138139381760/1591055557")</f>
        <v>https://pbs.twimg.com/profile_banners/1057632138139381760/1591055557</v>
      </c>
      <c r="AQ170" s="83" t="b">
        <v>1</v>
      </c>
      <c r="AR170" s="83" t="b">
        <v>0</v>
      </c>
      <c r="AS170" s="83" t="b">
        <v>0</v>
      </c>
      <c r="AT170" s="83"/>
      <c r="AU170" s="83">
        <v>4</v>
      </c>
      <c r="AV170" s="83"/>
      <c r="AW170" s="83" t="b">
        <v>0</v>
      </c>
      <c r="AX170" s="83" t="s">
        <v>2807</v>
      </c>
      <c r="AY170" s="88" t="str">
        <f>HYPERLINK("https://twitter.com/bluelightgoo")</f>
        <v>https://twitter.com/bluelightgoo</v>
      </c>
      <c r="AZ170" s="83" t="s">
        <v>66</v>
      </c>
      <c r="BA170" s="2"/>
      <c r="BB170" s="3"/>
      <c r="BC170" s="3"/>
      <c r="BD170" s="3"/>
      <c r="BE170" s="3"/>
    </row>
    <row r="171" spans="1:57" x14ac:dyDescent="0.2">
      <c r="A171" s="69" t="s">
        <v>360</v>
      </c>
      <c r="B171" s="70"/>
      <c r="C171" s="70"/>
      <c r="D171" s="71"/>
      <c r="E171" s="73"/>
      <c r="F171" s="109" t="str">
        <f>HYPERLINK("http://pbs.twimg.com/profile_images/3047842042/065481c541550d5548e9e3d87a77cdef_normal.jpeg")</f>
        <v>http://pbs.twimg.com/profile_images/3047842042/065481c541550d5548e9e3d87a77cdef_normal.jpeg</v>
      </c>
      <c r="G171" s="70"/>
      <c r="H171" s="74"/>
      <c r="I171" s="75"/>
      <c r="J171" s="75"/>
      <c r="K171" s="74" t="s">
        <v>2975</v>
      </c>
      <c r="L171" s="78"/>
      <c r="M171" s="79"/>
      <c r="N171" s="79"/>
      <c r="O171" s="80"/>
      <c r="P171" s="81"/>
      <c r="Q171" s="81"/>
      <c r="R171" s="93"/>
      <c r="S171" s="93"/>
      <c r="T171" s="93"/>
      <c r="U171" s="93"/>
      <c r="V171" s="52"/>
      <c r="W171" s="52"/>
      <c r="X171" s="52"/>
      <c r="Y171" s="52"/>
      <c r="Z171" s="51"/>
      <c r="AA171" s="76"/>
      <c r="AB171" s="76"/>
      <c r="AC171" s="77"/>
      <c r="AD171" s="83" t="s">
        <v>1996</v>
      </c>
      <c r="AE171" s="91" t="s">
        <v>2260</v>
      </c>
      <c r="AF171" s="83">
        <v>243</v>
      </c>
      <c r="AG171" s="83">
        <v>424</v>
      </c>
      <c r="AH171" s="83">
        <v>205680</v>
      </c>
      <c r="AI171" s="83">
        <v>129942</v>
      </c>
      <c r="AJ171" s="83"/>
      <c r="AK171" s="83" t="s">
        <v>2526</v>
      </c>
      <c r="AL171" s="83" t="s">
        <v>2744</v>
      </c>
      <c r="AM171" s="88" t="str">
        <f>HYPERLINK("https://t.co/Kbz7BKu7VQ")</f>
        <v>https://t.co/Kbz7BKu7VQ</v>
      </c>
      <c r="AN171" s="83"/>
      <c r="AO171" s="85">
        <v>40883.548935185187</v>
      </c>
      <c r="AP171" s="88" t="str">
        <f>HYPERLINK("https://pbs.twimg.com/profile_banners/429843189/1472284274")</f>
        <v>https://pbs.twimg.com/profile_banners/429843189/1472284274</v>
      </c>
      <c r="AQ171" s="83" t="b">
        <v>0</v>
      </c>
      <c r="AR171" s="83" t="b">
        <v>0</v>
      </c>
      <c r="AS171" s="83" t="b">
        <v>0</v>
      </c>
      <c r="AT171" s="83"/>
      <c r="AU171" s="83">
        <v>18</v>
      </c>
      <c r="AV171" s="88" t="str">
        <f>HYPERLINK("http://abs.twimg.com/images/themes/theme1/bg.png")</f>
        <v>http://abs.twimg.com/images/themes/theme1/bg.png</v>
      </c>
      <c r="AW171" s="83" t="b">
        <v>0</v>
      </c>
      <c r="AX171" s="83" t="s">
        <v>2807</v>
      </c>
      <c r="AY171" s="88" t="str">
        <f>HYPERLINK("https://twitter.com/sinestzet")</f>
        <v>https://twitter.com/sinestzet</v>
      </c>
      <c r="AZ171" s="83" t="s">
        <v>66</v>
      </c>
      <c r="BA171" s="2"/>
      <c r="BB171" s="3"/>
      <c r="BC171" s="3"/>
      <c r="BD171" s="3"/>
      <c r="BE171" s="3"/>
    </row>
    <row r="172" spans="1:57" x14ac:dyDescent="0.2">
      <c r="A172" s="69" t="s">
        <v>361</v>
      </c>
      <c r="B172" s="70"/>
      <c r="C172" s="70"/>
      <c r="D172" s="71"/>
      <c r="E172" s="73"/>
      <c r="F172" s="109" t="str">
        <f>HYPERLINK("http://pbs.twimg.com/profile_images/1252135922247688197/DHZomOZr_normal.jpg")</f>
        <v>http://pbs.twimg.com/profile_images/1252135922247688197/DHZomOZr_normal.jpg</v>
      </c>
      <c r="G172" s="70"/>
      <c r="H172" s="74"/>
      <c r="I172" s="75"/>
      <c r="J172" s="75"/>
      <c r="K172" s="74" t="s">
        <v>2976</v>
      </c>
      <c r="L172" s="78"/>
      <c r="M172" s="79"/>
      <c r="N172" s="79"/>
      <c r="O172" s="80"/>
      <c r="P172" s="81"/>
      <c r="Q172" s="81"/>
      <c r="R172" s="93"/>
      <c r="S172" s="93"/>
      <c r="T172" s="93"/>
      <c r="U172" s="93"/>
      <c r="V172" s="52"/>
      <c r="W172" s="52"/>
      <c r="X172" s="52"/>
      <c r="Y172" s="52"/>
      <c r="Z172" s="51"/>
      <c r="AA172" s="76"/>
      <c r="AB172" s="76"/>
      <c r="AC172" s="77"/>
      <c r="AD172" s="83" t="s">
        <v>1997</v>
      </c>
      <c r="AE172" s="91" t="s">
        <v>2261</v>
      </c>
      <c r="AF172" s="83">
        <v>108</v>
      </c>
      <c r="AG172" s="83">
        <v>103</v>
      </c>
      <c r="AH172" s="83">
        <v>612</v>
      </c>
      <c r="AI172" s="83">
        <v>725</v>
      </c>
      <c r="AJ172" s="83"/>
      <c r="AK172" s="83" t="s">
        <v>2527</v>
      </c>
      <c r="AL172" s="83"/>
      <c r="AM172" s="83"/>
      <c r="AN172" s="83"/>
      <c r="AO172" s="85">
        <v>43818.608738425923</v>
      </c>
      <c r="AP172" s="88" t="str">
        <f>HYPERLINK("https://pbs.twimg.com/profile_banners/1207671028429787138/1590301416")</f>
        <v>https://pbs.twimg.com/profile_banners/1207671028429787138/1590301416</v>
      </c>
      <c r="AQ172" s="83" t="b">
        <v>1</v>
      </c>
      <c r="AR172" s="83" t="b">
        <v>0</v>
      </c>
      <c r="AS172" s="83" t="b">
        <v>0</v>
      </c>
      <c r="AT172" s="83"/>
      <c r="AU172" s="83">
        <v>0</v>
      </c>
      <c r="AV172" s="83"/>
      <c r="AW172" s="83" t="b">
        <v>0</v>
      </c>
      <c r="AX172" s="83" t="s">
        <v>2807</v>
      </c>
      <c r="AY172" s="88" t="str">
        <f>HYPERLINK("https://twitter.com/ishigo18")</f>
        <v>https://twitter.com/ishigo18</v>
      </c>
      <c r="AZ172" s="83" t="s">
        <v>66</v>
      </c>
      <c r="BA172" s="2"/>
      <c r="BB172" s="3"/>
      <c r="BC172" s="3"/>
      <c r="BD172" s="3"/>
      <c r="BE172" s="3"/>
    </row>
    <row r="173" spans="1:57" x14ac:dyDescent="0.2">
      <c r="A173" s="69" t="s">
        <v>362</v>
      </c>
      <c r="B173" s="70"/>
      <c r="C173" s="70"/>
      <c r="D173" s="71"/>
      <c r="E173" s="73"/>
      <c r="F173" s="109" t="str">
        <f>HYPERLINK("http://pbs.twimg.com/profile_images/1279385532527554560/YNNczgpR_normal.jpg")</f>
        <v>http://pbs.twimg.com/profile_images/1279385532527554560/YNNczgpR_normal.jpg</v>
      </c>
      <c r="G173" s="70"/>
      <c r="H173" s="74"/>
      <c r="I173" s="75"/>
      <c r="J173" s="75"/>
      <c r="K173" s="74" t="s">
        <v>2977</v>
      </c>
      <c r="L173" s="78"/>
      <c r="M173" s="79"/>
      <c r="N173" s="79"/>
      <c r="O173" s="80"/>
      <c r="P173" s="81"/>
      <c r="Q173" s="81"/>
      <c r="R173" s="93"/>
      <c r="S173" s="93"/>
      <c r="T173" s="93"/>
      <c r="U173" s="93"/>
      <c r="V173" s="52"/>
      <c r="W173" s="52"/>
      <c r="X173" s="52"/>
      <c r="Y173" s="52"/>
      <c r="Z173" s="51"/>
      <c r="AA173" s="76"/>
      <c r="AB173" s="76"/>
      <c r="AC173" s="77"/>
      <c r="AD173" s="83" t="s">
        <v>1998</v>
      </c>
      <c r="AE173" s="91" t="s">
        <v>2262</v>
      </c>
      <c r="AF173" s="83">
        <v>408</v>
      </c>
      <c r="AG173" s="83">
        <v>294</v>
      </c>
      <c r="AH173" s="83">
        <v>4640</v>
      </c>
      <c r="AI173" s="83">
        <v>61797</v>
      </c>
      <c r="AJ173" s="83"/>
      <c r="AK173" s="83" t="s">
        <v>2528</v>
      </c>
      <c r="AL173" s="83" t="s">
        <v>2745</v>
      </c>
      <c r="AM173" s="83"/>
      <c r="AN173" s="83"/>
      <c r="AO173" s="85">
        <v>42673.633993055555</v>
      </c>
      <c r="AP173" s="88" t="str">
        <f>HYPERLINK("https://pbs.twimg.com/profile_banners/792746114478772226/1584530392")</f>
        <v>https://pbs.twimg.com/profile_banners/792746114478772226/1584530392</v>
      </c>
      <c r="AQ173" s="83" t="b">
        <v>1</v>
      </c>
      <c r="AR173" s="83" t="b">
        <v>0</v>
      </c>
      <c r="AS173" s="83" t="b">
        <v>0</v>
      </c>
      <c r="AT173" s="83"/>
      <c r="AU173" s="83">
        <v>2</v>
      </c>
      <c r="AV173" s="83"/>
      <c r="AW173" s="83" t="b">
        <v>0</v>
      </c>
      <c r="AX173" s="83" t="s">
        <v>2807</v>
      </c>
      <c r="AY173" s="88" t="str">
        <f>HYPERLINK("https://twitter.com/twoasiyesquire")</f>
        <v>https://twitter.com/twoasiyesquire</v>
      </c>
      <c r="AZ173" s="83" t="s">
        <v>66</v>
      </c>
      <c r="BA173" s="2"/>
      <c r="BB173" s="3"/>
      <c r="BC173" s="3"/>
      <c r="BD173" s="3"/>
      <c r="BE173" s="3"/>
    </row>
    <row r="174" spans="1:57" x14ac:dyDescent="0.2">
      <c r="A174" s="69" t="s">
        <v>364</v>
      </c>
      <c r="B174" s="70"/>
      <c r="C174" s="70"/>
      <c r="D174" s="71"/>
      <c r="E174" s="73"/>
      <c r="F174" s="109" t="str">
        <f>HYPERLINK("http://pbs.twimg.com/profile_images/1255483077507285000/ed9py_Pr_normal.jpg")</f>
        <v>http://pbs.twimg.com/profile_images/1255483077507285000/ed9py_Pr_normal.jpg</v>
      </c>
      <c r="G174" s="70"/>
      <c r="H174" s="74"/>
      <c r="I174" s="75"/>
      <c r="J174" s="75"/>
      <c r="K174" s="74" t="s">
        <v>2978</v>
      </c>
      <c r="L174" s="78"/>
      <c r="M174" s="79"/>
      <c r="N174" s="79"/>
      <c r="O174" s="80"/>
      <c r="P174" s="81"/>
      <c r="Q174" s="81"/>
      <c r="R174" s="93"/>
      <c r="S174" s="93"/>
      <c r="T174" s="93"/>
      <c r="U174" s="93"/>
      <c r="V174" s="52"/>
      <c r="W174" s="52"/>
      <c r="X174" s="52"/>
      <c r="Y174" s="52"/>
      <c r="Z174" s="51"/>
      <c r="AA174" s="76"/>
      <c r="AB174" s="76"/>
      <c r="AC174" s="77"/>
      <c r="AD174" s="83" t="s">
        <v>1999</v>
      </c>
      <c r="AE174" s="91" t="s">
        <v>2263</v>
      </c>
      <c r="AF174" s="83">
        <v>426</v>
      </c>
      <c r="AG174" s="83">
        <v>492</v>
      </c>
      <c r="AH174" s="83">
        <v>143742</v>
      </c>
      <c r="AI174" s="83">
        <v>160590</v>
      </c>
      <c r="AJ174" s="83"/>
      <c r="AK174" s="83" t="s">
        <v>2529</v>
      </c>
      <c r="AL174" s="83" t="s">
        <v>2746</v>
      </c>
      <c r="AM174" s="83"/>
      <c r="AN174" s="83"/>
      <c r="AO174" s="85">
        <v>42262.604178240741</v>
      </c>
      <c r="AP174" s="88" t="str">
        <f>HYPERLINK("https://pbs.twimg.com/profile_banners/3572264052/1588165346")</f>
        <v>https://pbs.twimg.com/profile_banners/3572264052/1588165346</v>
      </c>
      <c r="AQ174" s="83" t="b">
        <v>1</v>
      </c>
      <c r="AR174" s="83" t="b">
        <v>0</v>
      </c>
      <c r="AS174" s="83" t="b">
        <v>1</v>
      </c>
      <c r="AT174" s="83"/>
      <c r="AU174" s="83">
        <v>4</v>
      </c>
      <c r="AV174" s="88" t="str">
        <f>HYPERLINK("http://abs.twimg.com/images/themes/theme1/bg.png")</f>
        <v>http://abs.twimg.com/images/themes/theme1/bg.png</v>
      </c>
      <c r="AW174" s="83" t="b">
        <v>0</v>
      </c>
      <c r="AX174" s="83" t="s">
        <v>2807</v>
      </c>
      <c r="AY174" s="88" t="str">
        <f>HYPERLINK("https://twitter.com/ddd66477118")</f>
        <v>https://twitter.com/ddd66477118</v>
      </c>
      <c r="AZ174" s="83" t="s">
        <v>66</v>
      </c>
      <c r="BA174" s="2"/>
      <c r="BB174" s="3"/>
      <c r="BC174" s="3"/>
      <c r="BD174" s="3"/>
      <c r="BE174" s="3"/>
    </row>
    <row r="175" spans="1:57" x14ac:dyDescent="0.2">
      <c r="A175" s="69" t="s">
        <v>366</v>
      </c>
      <c r="B175" s="70"/>
      <c r="C175" s="70"/>
      <c r="D175" s="71"/>
      <c r="E175" s="73"/>
      <c r="F175" s="109" t="str">
        <f>HYPERLINK("http://pbs.twimg.com/profile_images/1013128183166767104/QCddrboK_normal.jpg")</f>
        <v>http://pbs.twimg.com/profile_images/1013128183166767104/QCddrboK_normal.jpg</v>
      </c>
      <c r="G175" s="70"/>
      <c r="H175" s="74"/>
      <c r="I175" s="75"/>
      <c r="J175" s="75"/>
      <c r="K175" s="74" t="s">
        <v>2979</v>
      </c>
      <c r="L175" s="78"/>
      <c r="M175" s="79"/>
      <c r="N175" s="79"/>
      <c r="O175" s="80"/>
      <c r="P175" s="81"/>
      <c r="Q175" s="81"/>
      <c r="R175" s="93"/>
      <c r="S175" s="93"/>
      <c r="T175" s="93"/>
      <c r="U175" s="93"/>
      <c r="V175" s="52"/>
      <c r="W175" s="52"/>
      <c r="X175" s="52"/>
      <c r="Y175" s="52"/>
      <c r="Z175" s="51"/>
      <c r="AA175" s="76"/>
      <c r="AB175" s="76"/>
      <c r="AC175" s="77"/>
      <c r="AD175" s="83" t="s">
        <v>2000</v>
      </c>
      <c r="AE175" s="91" t="s">
        <v>2264</v>
      </c>
      <c r="AF175" s="83">
        <v>2897</v>
      </c>
      <c r="AG175" s="83">
        <v>267</v>
      </c>
      <c r="AH175" s="83">
        <v>10154</v>
      </c>
      <c r="AI175" s="83">
        <v>6220</v>
      </c>
      <c r="AJ175" s="83"/>
      <c r="AK175" s="83" t="s">
        <v>2530</v>
      </c>
      <c r="AL175" s="83" t="s">
        <v>2747</v>
      </c>
      <c r="AM175" s="83"/>
      <c r="AN175" s="83"/>
      <c r="AO175" s="85">
        <v>43179.552083333336</v>
      </c>
      <c r="AP175" s="88" t="str">
        <f>HYPERLINK("https://pbs.twimg.com/profile_banners/976084695241945088/1527684101")</f>
        <v>https://pbs.twimg.com/profile_banners/976084695241945088/1527684101</v>
      </c>
      <c r="AQ175" s="83" t="b">
        <v>0</v>
      </c>
      <c r="AR175" s="83" t="b">
        <v>0</v>
      </c>
      <c r="AS175" s="83" t="b">
        <v>0</v>
      </c>
      <c r="AT175" s="83"/>
      <c r="AU175" s="83">
        <v>1</v>
      </c>
      <c r="AV175" s="88" t="str">
        <f>HYPERLINK("http://abs.twimg.com/images/themes/theme1/bg.png")</f>
        <v>http://abs.twimg.com/images/themes/theme1/bg.png</v>
      </c>
      <c r="AW175" s="83" t="b">
        <v>0</v>
      </c>
      <c r="AX175" s="83" t="s">
        <v>2807</v>
      </c>
      <c r="AY175" s="88" t="str">
        <f>HYPERLINK("https://twitter.com/elv1sfan")</f>
        <v>https://twitter.com/elv1sfan</v>
      </c>
      <c r="AZ175" s="83" t="s">
        <v>66</v>
      </c>
      <c r="BA175" s="2"/>
      <c r="BB175" s="3"/>
      <c r="BC175" s="3"/>
      <c r="BD175" s="3"/>
      <c r="BE175" s="3"/>
    </row>
    <row r="176" spans="1:57" x14ac:dyDescent="0.2">
      <c r="A176" s="69" t="s">
        <v>367</v>
      </c>
      <c r="B176" s="70"/>
      <c r="C176" s="70"/>
      <c r="D176" s="71"/>
      <c r="E176" s="73"/>
      <c r="F176" s="109" t="str">
        <f>HYPERLINK("http://pbs.twimg.com/profile_images/1260567393635631111/rNexSQFq_normal.jpg")</f>
        <v>http://pbs.twimg.com/profile_images/1260567393635631111/rNexSQFq_normal.jpg</v>
      </c>
      <c r="G176" s="70"/>
      <c r="H176" s="74"/>
      <c r="I176" s="75"/>
      <c r="J176" s="75"/>
      <c r="K176" s="74" t="s">
        <v>2980</v>
      </c>
      <c r="L176" s="78"/>
      <c r="M176" s="79"/>
      <c r="N176" s="79"/>
      <c r="O176" s="80"/>
      <c r="P176" s="81"/>
      <c r="Q176" s="81"/>
      <c r="R176" s="93"/>
      <c r="S176" s="93"/>
      <c r="T176" s="93"/>
      <c r="U176" s="93"/>
      <c r="V176" s="52"/>
      <c r="W176" s="52"/>
      <c r="X176" s="52"/>
      <c r="Y176" s="52"/>
      <c r="Z176" s="51"/>
      <c r="AA176" s="76"/>
      <c r="AB176" s="76"/>
      <c r="AC176" s="77"/>
      <c r="AD176" s="83" t="s">
        <v>2001</v>
      </c>
      <c r="AE176" s="91" t="s">
        <v>2265</v>
      </c>
      <c r="AF176" s="83">
        <v>28</v>
      </c>
      <c r="AG176" s="83">
        <v>3</v>
      </c>
      <c r="AH176" s="83">
        <v>10</v>
      </c>
      <c r="AI176" s="83">
        <v>6</v>
      </c>
      <c r="AJ176" s="83"/>
      <c r="AK176" s="83" t="s">
        <v>2531</v>
      </c>
      <c r="AL176" s="83"/>
      <c r="AM176" s="83"/>
      <c r="AN176" s="83"/>
      <c r="AO176" s="85">
        <v>43964.573993055557</v>
      </c>
      <c r="AP176" s="83"/>
      <c r="AQ176" s="83" t="b">
        <v>1</v>
      </c>
      <c r="AR176" s="83" t="b">
        <v>0</v>
      </c>
      <c r="AS176" s="83" t="b">
        <v>0</v>
      </c>
      <c r="AT176" s="83"/>
      <c r="AU176" s="83">
        <v>0</v>
      </c>
      <c r="AV176" s="83"/>
      <c r="AW176" s="83" t="b">
        <v>0</v>
      </c>
      <c r="AX176" s="83" t="s">
        <v>2807</v>
      </c>
      <c r="AY176" s="88" t="str">
        <f>HYPERLINK("https://twitter.com/starseedof")</f>
        <v>https://twitter.com/starseedof</v>
      </c>
      <c r="AZ176" s="83" t="s">
        <v>66</v>
      </c>
      <c r="BA176" s="2"/>
      <c r="BB176" s="3"/>
      <c r="BC176" s="3"/>
      <c r="BD176" s="3"/>
      <c r="BE176" s="3"/>
    </row>
    <row r="177" spans="1:57" x14ac:dyDescent="0.2">
      <c r="A177" s="69" t="s">
        <v>368</v>
      </c>
      <c r="B177" s="70"/>
      <c r="C177" s="70"/>
      <c r="D177" s="71"/>
      <c r="E177" s="73"/>
      <c r="F177" s="109" t="str">
        <f>HYPERLINK("http://pbs.twimg.com/profile_images/1282130765963243521/X39uU8jK_normal.jpg")</f>
        <v>http://pbs.twimg.com/profile_images/1282130765963243521/X39uU8jK_normal.jpg</v>
      </c>
      <c r="G177" s="70"/>
      <c r="H177" s="74"/>
      <c r="I177" s="75"/>
      <c r="J177" s="75"/>
      <c r="K177" s="74" t="s">
        <v>2981</v>
      </c>
      <c r="L177" s="78"/>
      <c r="M177" s="79"/>
      <c r="N177" s="79"/>
      <c r="O177" s="80"/>
      <c r="P177" s="81"/>
      <c r="Q177" s="81"/>
      <c r="R177" s="93"/>
      <c r="S177" s="93"/>
      <c r="T177" s="93"/>
      <c r="U177" s="93"/>
      <c r="V177" s="52"/>
      <c r="W177" s="52"/>
      <c r="X177" s="52"/>
      <c r="Y177" s="52"/>
      <c r="Z177" s="51"/>
      <c r="AA177" s="76"/>
      <c r="AB177" s="76"/>
      <c r="AC177" s="77"/>
      <c r="AD177" s="83" t="s">
        <v>2002</v>
      </c>
      <c r="AE177" s="91" t="s">
        <v>2266</v>
      </c>
      <c r="AF177" s="83">
        <v>1399</v>
      </c>
      <c r="AG177" s="83">
        <v>587</v>
      </c>
      <c r="AH177" s="83">
        <v>11583</v>
      </c>
      <c r="AI177" s="83">
        <v>28256</v>
      </c>
      <c r="AJ177" s="83"/>
      <c r="AK177" s="83"/>
      <c r="AL177" s="83"/>
      <c r="AM177" s="83"/>
      <c r="AN177" s="83"/>
      <c r="AO177" s="85">
        <v>42816.779456018521</v>
      </c>
      <c r="AP177" s="88" t="str">
        <f>HYPERLINK("https://pbs.twimg.com/profile_banners/844620293985501184/1594518771")</f>
        <v>https://pbs.twimg.com/profile_banners/844620293985501184/1594518771</v>
      </c>
      <c r="AQ177" s="83" t="b">
        <v>1</v>
      </c>
      <c r="AR177" s="83" t="b">
        <v>0</v>
      </c>
      <c r="AS177" s="83" t="b">
        <v>0</v>
      </c>
      <c r="AT177" s="83"/>
      <c r="AU177" s="83">
        <v>0</v>
      </c>
      <c r="AV177" s="83"/>
      <c r="AW177" s="83" t="b">
        <v>0</v>
      </c>
      <c r="AX177" s="83" t="s">
        <v>2807</v>
      </c>
      <c r="AY177" s="88" t="str">
        <f>HYPERLINK("https://twitter.com/leah27christine")</f>
        <v>https://twitter.com/leah27christine</v>
      </c>
      <c r="AZ177" s="83" t="s">
        <v>66</v>
      </c>
      <c r="BA177" s="2"/>
      <c r="BB177" s="3"/>
      <c r="BC177" s="3"/>
      <c r="BD177" s="3"/>
      <c r="BE177" s="3"/>
    </row>
    <row r="178" spans="1:57" x14ac:dyDescent="0.2">
      <c r="A178" s="69" t="s">
        <v>369</v>
      </c>
      <c r="B178" s="70"/>
      <c r="C178" s="70"/>
      <c r="D178" s="71"/>
      <c r="E178" s="73"/>
      <c r="F178" s="109" t="str">
        <f>HYPERLINK("http://pbs.twimg.com/profile_images/1206576406509080577/jGLifW47_normal.jpg")</f>
        <v>http://pbs.twimg.com/profile_images/1206576406509080577/jGLifW47_normal.jpg</v>
      </c>
      <c r="G178" s="70"/>
      <c r="H178" s="74"/>
      <c r="I178" s="75"/>
      <c r="J178" s="75"/>
      <c r="K178" s="74" t="s">
        <v>2982</v>
      </c>
      <c r="L178" s="78"/>
      <c r="M178" s="79"/>
      <c r="N178" s="79"/>
      <c r="O178" s="80"/>
      <c r="P178" s="81"/>
      <c r="Q178" s="81"/>
      <c r="R178" s="93"/>
      <c r="S178" s="93"/>
      <c r="T178" s="93"/>
      <c r="U178" s="93"/>
      <c r="V178" s="52"/>
      <c r="W178" s="52"/>
      <c r="X178" s="52"/>
      <c r="Y178" s="52"/>
      <c r="Z178" s="51"/>
      <c r="AA178" s="76"/>
      <c r="AB178" s="76"/>
      <c r="AC178" s="77"/>
      <c r="AD178" s="83" t="s">
        <v>2003</v>
      </c>
      <c r="AE178" s="91" t="s">
        <v>2267</v>
      </c>
      <c r="AF178" s="83">
        <v>1780</v>
      </c>
      <c r="AG178" s="83">
        <v>391</v>
      </c>
      <c r="AH178" s="83">
        <v>2375</v>
      </c>
      <c r="AI178" s="83">
        <v>8139</v>
      </c>
      <c r="AJ178" s="83"/>
      <c r="AK178" s="83" t="s">
        <v>2532</v>
      </c>
      <c r="AL178" s="83" t="s">
        <v>2748</v>
      </c>
      <c r="AM178" s="83"/>
      <c r="AN178" s="83"/>
      <c r="AO178" s="85">
        <v>40037.727465277778</v>
      </c>
      <c r="AP178" s="88" t="str">
        <f>HYPERLINK("https://pbs.twimg.com/profile_banners/65098401/1590418658")</f>
        <v>https://pbs.twimg.com/profile_banners/65098401/1590418658</v>
      </c>
      <c r="AQ178" s="83" t="b">
        <v>0</v>
      </c>
      <c r="AR178" s="83" t="b">
        <v>0</v>
      </c>
      <c r="AS178" s="83" t="b">
        <v>0</v>
      </c>
      <c r="AT178" s="83"/>
      <c r="AU178" s="83">
        <v>8</v>
      </c>
      <c r="AV178" s="88" t="str">
        <f>HYPERLINK("http://abs.twimg.com/images/themes/theme8/bg.gif")</f>
        <v>http://abs.twimg.com/images/themes/theme8/bg.gif</v>
      </c>
      <c r="AW178" s="83" t="b">
        <v>0</v>
      </c>
      <c r="AX178" s="83" t="s">
        <v>2807</v>
      </c>
      <c r="AY178" s="88" t="str">
        <f>HYPERLINK("https://twitter.com/damujen")</f>
        <v>https://twitter.com/damujen</v>
      </c>
      <c r="AZ178" s="83" t="s">
        <v>66</v>
      </c>
      <c r="BA178" s="2"/>
      <c r="BB178" s="3"/>
      <c r="BC178" s="3"/>
      <c r="BD178" s="3"/>
      <c r="BE178" s="3"/>
    </row>
    <row r="179" spans="1:57" x14ac:dyDescent="0.2">
      <c r="A179" s="69" t="s">
        <v>370</v>
      </c>
      <c r="B179" s="70"/>
      <c r="C179" s="70"/>
      <c r="D179" s="71"/>
      <c r="E179" s="73"/>
      <c r="F179" s="109" t="str">
        <f>HYPERLINK("http://pbs.twimg.com/profile_images/1275527360759169029/n9Kc58rG_normal.jpg")</f>
        <v>http://pbs.twimg.com/profile_images/1275527360759169029/n9Kc58rG_normal.jpg</v>
      </c>
      <c r="G179" s="70"/>
      <c r="H179" s="74"/>
      <c r="I179" s="75"/>
      <c r="J179" s="75"/>
      <c r="K179" s="74" t="s">
        <v>2983</v>
      </c>
      <c r="L179" s="78"/>
      <c r="M179" s="79"/>
      <c r="N179" s="79"/>
      <c r="O179" s="80"/>
      <c r="P179" s="81"/>
      <c r="Q179" s="81"/>
      <c r="R179" s="93"/>
      <c r="S179" s="93"/>
      <c r="T179" s="93"/>
      <c r="U179" s="93"/>
      <c r="V179" s="52"/>
      <c r="W179" s="52"/>
      <c r="X179" s="52"/>
      <c r="Y179" s="52"/>
      <c r="Z179" s="51"/>
      <c r="AA179" s="76"/>
      <c r="AB179" s="76"/>
      <c r="AC179" s="77"/>
      <c r="AD179" s="83" t="s">
        <v>2004</v>
      </c>
      <c r="AE179" s="91" t="s">
        <v>2268</v>
      </c>
      <c r="AF179" s="83">
        <v>814</v>
      </c>
      <c r="AG179" s="83">
        <v>717</v>
      </c>
      <c r="AH179" s="83">
        <v>18012</v>
      </c>
      <c r="AI179" s="83">
        <v>1980</v>
      </c>
      <c r="AJ179" s="83"/>
      <c r="AK179" s="83" t="s">
        <v>2533</v>
      </c>
      <c r="AL179" s="83" t="s">
        <v>2749</v>
      </c>
      <c r="AM179" s="83"/>
      <c r="AN179" s="83"/>
      <c r="AO179" s="85">
        <v>41502.707361111112</v>
      </c>
      <c r="AP179" s="88" t="str">
        <f>HYPERLINK("https://pbs.twimg.com/profile_banners/1676214835/1546028598")</f>
        <v>https://pbs.twimg.com/profile_banners/1676214835/1546028598</v>
      </c>
      <c r="AQ179" s="83" t="b">
        <v>1</v>
      </c>
      <c r="AR179" s="83" t="b">
        <v>0</v>
      </c>
      <c r="AS179" s="83" t="b">
        <v>1</v>
      </c>
      <c r="AT179" s="83"/>
      <c r="AU179" s="83">
        <v>14</v>
      </c>
      <c r="AV179" s="88" t="str">
        <f>HYPERLINK("http://abs.twimg.com/images/themes/theme1/bg.png")</f>
        <v>http://abs.twimg.com/images/themes/theme1/bg.png</v>
      </c>
      <c r="AW179" s="83" t="b">
        <v>0</v>
      </c>
      <c r="AX179" s="83" t="s">
        <v>2807</v>
      </c>
      <c r="AY179" s="88" t="str">
        <f>HYPERLINK("https://twitter.com/ted_pops")</f>
        <v>https://twitter.com/ted_pops</v>
      </c>
      <c r="AZ179" s="83" t="s">
        <v>66</v>
      </c>
      <c r="BA179" s="2"/>
      <c r="BB179" s="3"/>
      <c r="BC179" s="3"/>
      <c r="BD179" s="3"/>
      <c r="BE179" s="3"/>
    </row>
    <row r="180" spans="1:57" x14ac:dyDescent="0.2">
      <c r="A180" s="69" t="s">
        <v>480</v>
      </c>
      <c r="B180" s="70"/>
      <c r="C180" s="70"/>
      <c r="D180" s="71"/>
      <c r="E180" s="73"/>
      <c r="F180" s="109" t="str">
        <f>HYPERLINK("http://pbs.twimg.com/profile_images/542229188300644353/WjjN_69J_normal.jpeg")</f>
        <v>http://pbs.twimg.com/profile_images/542229188300644353/WjjN_69J_normal.jpeg</v>
      </c>
      <c r="G180" s="70"/>
      <c r="H180" s="74"/>
      <c r="I180" s="75"/>
      <c r="J180" s="75"/>
      <c r="K180" s="74" t="s">
        <v>2984</v>
      </c>
      <c r="L180" s="78"/>
      <c r="M180" s="79"/>
      <c r="N180" s="79"/>
      <c r="O180" s="80"/>
      <c r="P180" s="81"/>
      <c r="Q180" s="81"/>
      <c r="R180" s="93"/>
      <c r="S180" s="93"/>
      <c r="T180" s="93"/>
      <c r="U180" s="93"/>
      <c r="V180" s="52"/>
      <c r="W180" s="52"/>
      <c r="X180" s="52"/>
      <c r="Y180" s="52"/>
      <c r="Z180" s="51"/>
      <c r="AA180" s="76"/>
      <c r="AB180" s="76"/>
      <c r="AC180" s="77"/>
      <c r="AD180" s="83" t="s">
        <v>2005</v>
      </c>
      <c r="AE180" s="91" t="s">
        <v>2269</v>
      </c>
      <c r="AF180" s="83">
        <v>60</v>
      </c>
      <c r="AG180" s="83">
        <v>440884</v>
      </c>
      <c r="AH180" s="83">
        <v>16880</v>
      </c>
      <c r="AI180" s="83">
        <v>4162</v>
      </c>
      <c r="AJ180" s="83"/>
      <c r="AK180" s="83" t="s">
        <v>2534</v>
      </c>
      <c r="AL180" s="83"/>
      <c r="AM180" s="88" t="str">
        <f>HYPERLINK("https://t.co/L1uMV07Orf")</f>
        <v>https://t.co/L1uMV07Orf</v>
      </c>
      <c r="AN180" s="83"/>
      <c r="AO180" s="85">
        <v>40548.274606481478</v>
      </c>
      <c r="AP180" s="88" t="str">
        <f>HYPERLINK("https://pbs.twimg.com/profile_banners/234264720/1589819144")</f>
        <v>https://pbs.twimg.com/profile_banners/234264720/1589819144</v>
      </c>
      <c r="AQ180" s="83" t="b">
        <v>0</v>
      </c>
      <c r="AR180" s="83" t="b">
        <v>0</v>
      </c>
      <c r="AS180" s="83" t="b">
        <v>0</v>
      </c>
      <c r="AT180" s="83"/>
      <c r="AU180" s="83">
        <v>888</v>
      </c>
      <c r="AV180" s="88" t="str">
        <f>HYPERLINK("http://abs.twimg.com/images/themes/theme1/bg.png")</f>
        <v>http://abs.twimg.com/images/themes/theme1/bg.png</v>
      </c>
      <c r="AW180" s="83" t="b">
        <v>1</v>
      </c>
      <c r="AX180" s="83" t="s">
        <v>2807</v>
      </c>
      <c r="AY180" s="88" t="str">
        <f>HYPERLINK("https://twitter.com/ray_ban")</f>
        <v>https://twitter.com/ray_ban</v>
      </c>
      <c r="AZ180" s="83" t="s">
        <v>65</v>
      </c>
      <c r="BA180" s="2"/>
      <c r="BB180" s="3"/>
      <c r="BC180" s="3"/>
      <c r="BD180" s="3"/>
      <c r="BE180" s="3"/>
    </row>
    <row r="181" spans="1:57" x14ac:dyDescent="0.2">
      <c r="A181" s="69" t="s">
        <v>481</v>
      </c>
      <c r="B181" s="70"/>
      <c r="C181" s="70"/>
      <c r="D181" s="71"/>
      <c r="E181" s="73"/>
      <c r="F181" s="109" t="str">
        <f>HYPERLINK("http://pbs.twimg.com/profile_images/3568675039/87414fefeb051defefd8b693a7967021_normal.jpeg")</f>
        <v>http://pbs.twimg.com/profile_images/3568675039/87414fefeb051defefd8b693a7967021_normal.jpeg</v>
      </c>
      <c r="G181" s="70"/>
      <c r="H181" s="74"/>
      <c r="I181" s="75"/>
      <c r="J181" s="75"/>
      <c r="K181" s="74" t="s">
        <v>2985</v>
      </c>
      <c r="L181" s="78"/>
      <c r="M181" s="79"/>
      <c r="N181" s="79"/>
      <c r="O181" s="80"/>
      <c r="P181" s="81"/>
      <c r="Q181" s="81"/>
      <c r="R181" s="93"/>
      <c r="S181" s="93"/>
      <c r="T181" s="93"/>
      <c r="U181" s="93"/>
      <c r="V181" s="52"/>
      <c r="W181" s="52"/>
      <c r="X181" s="52"/>
      <c r="Y181" s="52"/>
      <c r="Z181" s="51"/>
      <c r="AA181" s="76"/>
      <c r="AB181" s="76"/>
      <c r="AC181" s="77"/>
      <c r="AD181" s="83" t="s">
        <v>2006</v>
      </c>
      <c r="AE181" s="91" t="s">
        <v>2270</v>
      </c>
      <c r="AF181" s="83">
        <v>3049</v>
      </c>
      <c r="AG181" s="83">
        <v>22591</v>
      </c>
      <c r="AH181" s="83">
        <v>10628</v>
      </c>
      <c r="AI181" s="83">
        <v>3459</v>
      </c>
      <c r="AJ181" s="83"/>
      <c r="AK181" s="83" t="s">
        <v>2535</v>
      </c>
      <c r="AL181" s="83" t="s">
        <v>2750</v>
      </c>
      <c r="AM181" s="88" t="str">
        <f>HYPERLINK("http://t.co/oUQoj2kF9g")</f>
        <v>http://t.co/oUQoj2kF9g</v>
      </c>
      <c r="AN181" s="83"/>
      <c r="AO181" s="85">
        <v>40317.422175925924</v>
      </c>
      <c r="AP181" s="88" t="str">
        <f>HYPERLINK("https://pbs.twimg.com/profile_banners/145588016/1590993056")</f>
        <v>https://pbs.twimg.com/profile_banners/145588016/1590993056</v>
      </c>
      <c r="AQ181" s="83" t="b">
        <v>0</v>
      </c>
      <c r="AR181" s="83" t="b">
        <v>0</v>
      </c>
      <c r="AS181" s="83" t="b">
        <v>0</v>
      </c>
      <c r="AT181" s="83"/>
      <c r="AU181" s="83">
        <v>97</v>
      </c>
      <c r="AV181" s="88" t="str">
        <f>HYPERLINK("http://abs.twimg.com/images/themes/theme1/bg.png")</f>
        <v>http://abs.twimg.com/images/themes/theme1/bg.png</v>
      </c>
      <c r="AW181" s="83" t="b">
        <v>1</v>
      </c>
      <c r="AX181" s="83" t="s">
        <v>2807</v>
      </c>
      <c r="AY181" s="88" t="str">
        <f>HYPERLINK("https://twitter.com/sunglasshutsa")</f>
        <v>https://twitter.com/sunglasshutsa</v>
      </c>
      <c r="AZ181" s="83" t="s">
        <v>65</v>
      </c>
      <c r="BA181" s="2"/>
      <c r="BB181" s="3"/>
      <c r="BC181" s="3"/>
      <c r="BD181" s="3"/>
      <c r="BE181" s="3"/>
    </row>
    <row r="182" spans="1:57" x14ac:dyDescent="0.2">
      <c r="A182" s="69" t="s">
        <v>371</v>
      </c>
      <c r="B182" s="70"/>
      <c r="C182" s="70"/>
      <c r="D182" s="71"/>
      <c r="E182" s="73"/>
      <c r="F182" s="109" t="str">
        <f>HYPERLINK("http://pbs.twimg.com/profile_images/1280626710229155840/Mzr4CySH_normal.jpg")</f>
        <v>http://pbs.twimg.com/profile_images/1280626710229155840/Mzr4CySH_normal.jpg</v>
      </c>
      <c r="G182" s="70"/>
      <c r="H182" s="74"/>
      <c r="I182" s="75"/>
      <c r="J182" s="75"/>
      <c r="K182" s="74" t="s">
        <v>2986</v>
      </c>
      <c r="L182" s="78"/>
      <c r="M182" s="79"/>
      <c r="N182" s="79"/>
      <c r="O182" s="80"/>
      <c r="P182" s="81"/>
      <c r="Q182" s="81"/>
      <c r="R182" s="93"/>
      <c r="S182" s="93"/>
      <c r="T182" s="93"/>
      <c r="U182" s="93"/>
      <c r="V182" s="52"/>
      <c r="W182" s="52"/>
      <c r="X182" s="52"/>
      <c r="Y182" s="52"/>
      <c r="Z182" s="51"/>
      <c r="AA182" s="76"/>
      <c r="AB182" s="76"/>
      <c r="AC182" s="77"/>
      <c r="AD182" s="83" t="s">
        <v>2007</v>
      </c>
      <c r="AE182" s="91" t="s">
        <v>2271</v>
      </c>
      <c r="AF182" s="83">
        <v>991</v>
      </c>
      <c r="AG182" s="83">
        <v>532</v>
      </c>
      <c r="AH182" s="83">
        <v>302</v>
      </c>
      <c r="AI182" s="83">
        <v>100</v>
      </c>
      <c r="AJ182" s="83"/>
      <c r="AK182" s="83" t="s">
        <v>2536</v>
      </c>
      <c r="AL182" s="83" t="s">
        <v>2751</v>
      </c>
      <c r="AM182" s="83"/>
      <c r="AN182" s="83"/>
      <c r="AO182" s="85">
        <v>44019.908078703702</v>
      </c>
      <c r="AP182" s="88" t="str">
        <f>HYPERLINK("https://pbs.twimg.com/profile_banners/1280619313242746882/1594208476")</f>
        <v>https://pbs.twimg.com/profile_banners/1280619313242746882/1594208476</v>
      </c>
      <c r="AQ182" s="83" t="b">
        <v>1</v>
      </c>
      <c r="AR182" s="83" t="b">
        <v>0</v>
      </c>
      <c r="AS182" s="83" t="b">
        <v>0</v>
      </c>
      <c r="AT182" s="83"/>
      <c r="AU182" s="83">
        <v>0</v>
      </c>
      <c r="AV182" s="83"/>
      <c r="AW182" s="83" t="b">
        <v>0</v>
      </c>
      <c r="AX182" s="83" t="s">
        <v>2807</v>
      </c>
      <c r="AY182" s="88" t="str">
        <f>HYPERLINK("https://twitter.com/chuckfinley305")</f>
        <v>https://twitter.com/chuckfinley305</v>
      </c>
      <c r="AZ182" s="83" t="s">
        <v>66</v>
      </c>
      <c r="BA182" s="2"/>
      <c r="BB182" s="3"/>
      <c r="BC182" s="3"/>
      <c r="BD182" s="3"/>
      <c r="BE182" s="3"/>
    </row>
    <row r="183" spans="1:57" x14ac:dyDescent="0.2">
      <c r="A183" s="69" t="s">
        <v>372</v>
      </c>
      <c r="B183" s="70"/>
      <c r="C183" s="70"/>
      <c r="D183" s="71"/>
      <c r="E183" s="73"/>
      <c r="F183" s="109" t="str">
        <f>HYPERLINK("http://pbs.twimg.com/profile_images/987977438712872962/kPy9VMGP_normal.jpg")</f>
        <v>http://pbs.twimg.com/profile_images/987977438712872962/kPy9VMGP_normal.jpg</v>
      </c>
      <c r="G183" s="70"/>
      <c r="H183" s="74"/>
      <c r="I183" s="75"/>
      <c r="J183" s="75"/>
      <c r="K183" s="74" t="s">
        <v>2987</v>
      </c>
      <c r="L183" s="78"/>
      <c r="M183" s="79"/>
      <c r="N183" s="79"/>
      <c r="O183" s="80"/>
      <c r="P183" s="81"/>
      <c r="Q183" s="81"/>
      <c r="R183" s="93"/>
      <c r="S183" s="93"/>
      <c r="T183" s="93"/>
      <c r="U183" s="93"/>
      <c r="V183" s="52"/>
      <c r="W183" s="52"/>
      <c r="X183" s="52"/>
      <c r="Y183" s="52"/>
      <c r="Z183" s="51"/>
      <c r="AA183" s="76"/>
      <c r="AB183" s="76"/>
      <c r="AC183" s="77"/>
      <c r="AD183" s="83" t="s">
        <v>2008</v>
      </c>
      <c r="AE183" s="91" t="s">
        <v>2272</v>
      </c>
      <c r="AF183" s="83">
        <v>363</v>
      </c>
      <c r="AG183" s="83">
        <v>278</v>
      </c>
      <c r="AH183" s="83">
        <v>2025</v>
      </c>
      <c r="AI183" s="83">
        <v>5112</v>
      </c>
      <c r="AJ183" s="83"/>
      <c r="AK183" s="83" t="s">
        <v>2537</v>
      </c>
      <c r="AL183" s="83" t="s">
        <v>2752</v>
      </c>
      <c r="AM183" s="83"/>
      <c r="AN183" s="83"/>
      <c r="AO183" s="85">
        <v>41853.511180555557</v>
      </c>
      <c r="AP183" s="88" t="str">
        <f>HYPERLINK("https://pbs.twimg.com/profile_banners/2700727766/1524387901")</f>
        <v>https://pbs.twimg.com/profile_banners/2700727766/1524387901</v>
      </c>
      <c r="AQ183" s="83" t="b">
        <v>0</v>
      </c>
      <c r="AR183" s="83" t="b">
        <v>0</v>
      </c>
      <c r="AS183" s="83" t="b">
        <v>0</v>
      </c>
      <c r="AT183" s="83"/>
      <c r="AU183" s="83">
        <v>1</v>
      </c>
      <c r="AV183" s="88" t="str">
        <f>HYPERLINK("http://abs.twimg.com/images/themes/theme1/bg.png")</f>
        <v>http://abs.twimg.com/images/themes/theme1/bg.png</v>
      </c>
      <c r="AW183" s="83" t="b">
        <v>0</v>
      </c>
      <c r="AX183" s="83" t="s">
        <v>2807</v>
      </c>
      <c r="AY183" s="88" t="str">
        <f>HYPERLINK("https://twitter.com/pokemon_1234567")</f>
        <v>https://twitter.com/pokemon_1234567</v>
      </c>
      <c r="AZ183" s="83" t="s">
        <v>66</v>
      </c>
      <c r="BA183" s="2"/>
      <c r="BB183" s="3"/>
      <c r="BC183" s="3"/>
      <c r="BD183" s="3"/>
      <c r="BE183" s="3"/>
    </row>
    <row r="184" spans="1:57" x14ac:dyDescent="0.2">
      <c r="A184" s="69" t="s">
        <v>373</v>
      </c>
      <c r="B184" s="70"/>
      <c r="C184" s="70"/>
      <c r="D184" s="71"/>
      <c r="E184" s="73"/>
      <c r="F184" s="109" t="str">
        <f>HYPERLINK("http://pbs.twimg.com/profile_images/1251164224123854848/E4bVE-Kk_normal.jpg")</f>
        <v>http://pbs.twimg.com/profile_images/1251164224123854848/E4bVE-Kk_normal.jpg</v>
      </c>
      <c r="G184" s="70"/>
      <c r="H184" s="74"/>
      <c r="I184" s="75"/>
      <c r="J184" s="75"/>
      <c r="K184" s="74" t="s">
        <v>2988</v>
      </c>
      <c r="L184" s="78"/>
      <c r="M184" s="79"/>
      <c r="N184" s="79"/>
      <c r="O184" s="80"/>
      <c r="P184" s="81"/>
      <c r="Q184" s="81"/>
      <c r="R184" s="93"/>
      <c r="S184" s="93"/>
      <c r="T184" s="93"/>
      <c r="U184" s="93"/>
      <c r="V184" s="52"/>
      <c r="W184" s="52"/>
      <c r="X184" s="52"/>
      <c r="Y184" s="52"/>
      <c r="Z184" s="51"/>
      <c r="AA184" s="76"/>
      <c r="AB184" s="76"/>
      <c r="AC184" s="77"/>
      <c r="AD184" s="83" t="s">
        <v>2009</v>
      </c>
      <c r="AE184" s="91" t="s">
        <v>2273</v>
      </c>
      <c r="AF184" s="83">
        <v>3619</v>
      </c>
      <c r="AG184" s="83">
        <v>2691</v>
      </c>
      <c r="AH184" s="83">
        <v>6604</v>
      </c>
      <c r="AI184" s="83">
        <v>7714</v>
      </c>
      <c r="AJ184" s="83"/>
      <c r="AK184" s="83" t="s">
        <v>2538</v>
      </c>
      <c r="AL184" s="83" t="s">
        <v>2753</v>
      </c>
      <c r="AM184" s="83"/>
      <c r="AN184" s="83"/>
      <c r="AO184" s="85">
        <v>43914.656423611108</v>
      </c>
      <c r="AP184" s="88" t="str">
        <f>HYPERLINK("https://pbs.twimg.com/profile_banners/1242477542637842437/1587305625")</f>
        <v>https://pbs.twimg.com/profile_banners/1242477542637842437/1587305625</v>
      </c>
      <c r="AQ184" s="83" t="b">
        <v>1</v>
      </c>
      <c r="AR184" s="83" t="b">
        <v>0</v>
      </c>
      <c r="AS184" s="83" t="b">
        <v>0</v>
      </c>
      <c r="AT184" s="83"/>
      <c r="AU184" s="83">
        <v>0</v>
      </c>
      <c r="AV184" s="83"/>
      <c r="AW184" s="83" t="b">
        <v>0</v>
      </c>
      <c r="AX184" s="83" t="s">
        <v>2807</v>
      </c>
      <c r="AY184" s="88" t="str">
        <f>HYPERLINK("https://twitter.com/frankhoncho")</f>
        <v>https://twitter.com/frankhoncho</v>
      </c>
      <c r="AZ184" s="83" t="s">
        <v>66</v>
      </c>
      <c r="BA184" s="2"/>
      <c r="BB184" s="3"/>
      <c r="BC184" s="3"/>
      <c r="BD184" s="3"/>
      <c r="BE184" s="3"/>
    </row>
    <row r="185" spans="1:57" x14ac:dyDescent="0.2">
      <c r="A185" s="69" t="s">
        <v>374</v>
      </c>
      <c r="B185" s="70"/>
      <c r="C185" s="70"/>
      <c r="D185" s="71"/>
      <c r="E185" s="73"/>
      <c r="F185" s="109" t="str">
        <f>HYPERLINK("http://pbs.twimg.com/profile_images/1212039481601052672/XOndIb2M_normal.jpg")</f>
        <v>http://pbs.twimg.com/profile_images/1212039481601052672/XOndIb2M_normal.jpg</v>
      </c>
      <c r="G185" s="70"/>
      <c r="H185" s="74"/>
      <c r="I185" s="75"/>
      <c r="J185" s="75"/>
      <c r="K185" s="74" t="s">
        <v>2989</v>
      </c>
      <c r="L185" s="78"/>
      <c r="M185" s="79"/>
      <c r="N185" s="79"/>
      <c r="O185" s="80"/>
      <c r="P185" s="81"/>
      <c r="Q185" s="81"/>
      <c r="R185" s="93"/>
      <c r="S185" s="93"/>
      <c r="T185" s="93"/>
      <c r="U185" s="93"/>
      <c r="V185" s="52"/>
      <c r="W185" s="52"/>
      <c r="X185" s="52"/>
      <c r="Y185" s="52"/>
      <c r="Z185" s="51"/>
      <c r="AA185" s="76"/>
      <c r="AB185" s="76"/>
      <c r="AC185" s="77"/>
      <c r="AD185" s="83" t="s">
        <v>2010</v>
      </c>
      <c r="AE185" s="91" t="s">
        <v>2274</v>
      </c>
      <c r="AF185" s="83">
        <v>66</v>
      </c>
      <c r="AG185" s="83">
        <v>50</v>
      </c>
      <c r="AH185" s="83">
        <v>2201</v>
      </c>
      <c r="AI185" s="83">
        <v>869</v>
      </c>
      <c r="AJ185" s="83"/>
      <c r="AK185" s="83" t="s">
        <v>2539</v>
      </c>
      <c r="AL185" s="83" t="s">
        <v>2754</v>
      </c>
      <c r="AM185" s="83"/>
      <c r="AN185" s="83"/>
      <c r="AO185" s="85">
        <v>41783.610601851855</v>
      </c>
      <c r="AP185" s="88" t="str">
        <f>HYPERLINK("https://pbs.twimg.com/profile_banners/2520635395/1473339133")</f>
        <v>https://pbs.twimg.com/profile_banners/2520635395/1473339133</v>
      </c>
      <c r="AQ185" s="83" t="b">
        <v>1</v>
      </c>
      <c r="AR185" s="83" t="b">
        <v>0</v>
      </c>
      <c r="AS185" s="83" t="b">
        <v>0</v>
      </c>
      <c r="AT185" s="83"/>
      <c r="AU185" s="83">
        <v>2</v>
      </c>
      <c r="AV185" s="88" t="str">
        <f t="shared" ref="AV185:AV191" si="0">HYPERLINK("http://abs.twimg.com/images/themes/theme1/bg.png")</f>
        <v>http://abs.twimg.com/images/themes/theme1/bg.png</v>
      </c>
      <c r="AW185" s="83" t="b">
        <v>0</v>
      </c>
      <c r="AX185" s="83" t="s">
        <v>2807</v>
      </c>
      <c r="AY185" s="88" t="str">
        <f>HYPERLINK("https://twitter.com/tsukinapo_puyo")</f>
        <v>https://twitter.com/tsukinapo_puyo</v>
      </c>
      <c r="AZ185" s="83" t="s">
        <v>66</v>
      </c>
      <c r="BA185" s="2"/>
      <c r="BB185" s="3"/>
      <c r="BC185" s="3"/>
      <c r="BD185" s="3"/>
      <c r="BE185" s="3"/>
    </row>
    <row r="186" spans="1:57" x14ac:dyDescent="0.2">
      <c r="A186" s="69" t="s">
        <v>375</v>
      </c>
      <c r="B186" s="70"/>
      <c r="C186" s="70"/>
      <c r="D186" s="71"/>
      <c r="E186" s="73"/>
      <c r="F186" s="109" t="str">
        <f>HYPERLINK("http://pbs.twimg.com/profile_images/1257567687250554880/eLyXbEOf_normal.png")</f>
        <v>http://pbs.twimg.com/profile_images/1257567687250554880/eLyXbEOf_normal.png</v>
      </c>
      <c r="G186" s="70"/>
      <c r="H186" s="74"/>
      <c r="I186" s="75"/>
      <c r="J186" s="75"/>
      <c r="K186" s="74" t="s">
        <v>2990</v>
      </c>
      <c r="L186" s="78"/>
      <c r="M186" s="79"/>
      <c r="N186" s="79"/>
      <c r="O186" s="80"/>
      <c r="P186" s="81"/>
      <c r="Q186" s="81"/>
      <c r="R186" s="93"/>
      <c r="S186" s="93"/>
      <c r="T186" s="93"/>
      <c r="U186" s="93"/>
      <c r="V186" s="52"/>
      <c r="W186" s="52"/>
      <c r="X186" s="52"/>
      <c r="Y186" s="52"/>
      <c r="Z186" s="51"/>
      <c r="AA186" s="76"/>
      <c r="AB186" s="76"/>
      <c r="AC186" s="77"/>
      <c r="AD186" s="83" t="s">
        <v>2011</v>
      </c>
      <c r="AE186" s="91" t="s">
        <v>2275</v>
      </c>
      <c r="AF186" s="83">
        <v>150</v>
      </c>
      <c r="AG186" s="83">
        <v>181</v>
      </c>
      <c r="AH186" s="83">
        <v>75938</v>
      </c>
      <c r="AI186" s="83">
        <v>53974</v>
      </c>
      <c r="AJ186" s="83"/>
      <c r="AK186" s="83" t="s">
        <v>2540</v>
      </c>
      <c r="AL186" s="83" t="s">
        <v>2754</v>
      </c>
      <c r="AM186" s="83"/>
      <c r="AN186" s="83"/>
      <c r="AO186" s="85">
        <v>41517.637685185182</v>
      </c>
      <c r="AP186" s="88" t="str">
        <f>HYPERLINK("https://pbs.twimg.com/profile_banners/1715951636/1559906095")</f>
        <v>https://pbs.twimg.com/profile_banners/1715951636/1559906095</v>
      </c>
      <c r="AQ186" s="83" t="b">
        <v>1</v>
      </c>
      <c r="AR186" s="83" t="b">
        <v>0</v>
      </c>
      <c r="AS186" s="83" t="b">
        <v>0</v>
      </c>
      <c r="AT186" s="83"/>
      <c r="AU186" s="83">
        <v>9</v>
      </c>
      <c r="AV186" s="88" t="str">
        <f t="shared" si="0"/>
        <v>http://abs.twimg.com/images/themes/theme1/bg.png</v>
      </c>
      <c r="AW186" s="83" t="b">
        <v>0</v>
      </c>
      <c r="AX186" s="83" t="s">
        <v>2807</v>
      </c>
      <c r="AY186" s="88" t="str">
        <f>HYPERLINK("https://twitter.com/mimoza_moza2")</f>
        <v>https://twitter.com/mimoza_moza2</v>
      </c>
      <c r="AZ186" s="83" t="s">
        <v>66</v>
      </c>
      <c r="BA186" s="2"/>
      <c r="BB186" s="3"/>
      <c r="BC186" s="3"/>
      <c r="BD186" s="3"/>
      <c r="BE186" s="3"/>
    </row>
    <row r="187" spans="1:57" x14ac:dyDescent="0.2">
      <c r="A187" s="69" t="s">
        <v>376</v>
      </c>
      <c r="B187" s="70"/>
      <c r="C187" s="70"/>
      <c r="D187" s="71"/>
      <c r="E187" s="73"/>
      <c r="F187" s="109" t="str">
        <f>HYPERLINK("http://pbs.twimg.com/profile_images/709540889211887617/0QwjgQYA_normal.jpg")</f>
        <v>http://pbs.twimg.com/profile_images/709540889211887617/0QwjgQYA_normal.jpg</v>
      </c>
      <c r="G187" s="70"/>
      <c r="H187" s="74"/>
      <c r="I187" s="75"/>
      <c r="J187" s="75"/>
      <c r="K187" s="74" t="s">
        <v>2991</v>
      </c>
      <c r="L187" s="78"/>
      <c r="M187" s="79"/>
      <c r="N187" s="79"/>
      <c r="O187" s="80"/>
      <c r="P187" s="81"/>
      <c r="Q187" s="81"/>
      <c r="R187" s="93"/>
      <c r="S187" s="93"/>
      <c r="T187" s="93"/>
      <c r="U187" s="93"/>
      <c r="V187" s="52"/>
      <c r="W187" s="52"/>
      <c r="X187" s="52"/>
      <c r="Y187" s="52"/>
      <c r="Z187" s="51"/>
      <c r="AA187" s="76"/>
      <c r="AB187" s="76"/>
      <c r="AC187" s="77"/>
      <c r="AD187" s="83" t="s">
        <v>2012</v>
      </c>
      <c r="AE187" s="91" t="s">
        <v>2276</v>
      </c>
      <c r="AF187" s="83">
        <v>236</v>
      </c>
      <c r="AG187" s="83">
        <v>100</v>
      </c>
      <c r="AH187" s="83">
        <v>606</v>
      </c>
      <c r="AI187" s="83">
        <v>2078</v>
      </c>
      <c r="AJ187" s="83"/>
      <c r="AK187" s="83" t="s">
        <v>2541</v>
      </c>
      <c r="AL187" s="83" t="s">
        <v>2755</v>
      </c>
      <c r="AM187" s="83"/>
      <c r="AN187" s="83"/>
      <c r="AO187" s="85">
        <v>41865.048495370371</v>
      </c>
      <c r="AP187" s="88" t="str">
        <f>HYPERLINK("https://pbs.twimg.com/profile_banners/2742240591/1458002705")</f>
        <v>https://pbs.twimg.com/profile_banners/2742240591/1458002705</v>
      </c>
      <c r="AQ187" s="83" t="b">
        <v>1</v>
      </c>
      <c r="AR187" s="83" t="b">
        <v>0</v>
      </c>
      <c r="AS187" s="83" t="b">
        <v>1</v>
      </c>
      <c r="AT187" s="83"/>
      <c r="AU187" s="83">
        <v>0</v>
      </c>
      <c r="AV187" s="88" t="str">
        <f t="shared" si="0"/>
        <v>http://abs.twimg.com/images/themes/theme1/bg.png</v>
      </c>
      <c r="AW187" s="83" t="b">
        <v>0</v>
      </c>
      <c r="AX187" s="83" t="s">
        <v>2807</v>
      </c>
      <c r="AY187" s="88" t="str">
        <f>HYPERLINK("https://twitter.com/misrenee7783")</f>
        <v>https://twitter.com/misrenee7783</v>
      </c>
      <c r="AZ187" s="83" t="s">
        <v>66</v>
      </c>
      <c r="BA187" s="2"/>
      <c r="BB187" s="3"/>
      <c r="BC187" s="3"/>
      <c r="BD187" s="3"/>
      <c r="BE187" s="3"/>
    </row>
    <row r="188" spans="1:57" x14ac:dyDescent="0.2">
      <c r="A188" s="69" t="s">
        <v>377</v>
      </c>
      <c r="B188" s="70"/>
      <c r="C188" s="70"/>
      <c r="D188" s="71"/>
      <c r="E188" s="73"/>
      <c r="F188" s="109" t="str">
        <f>HYPERLINK("http://pbs.twimg.com/profile_images/1272568386355179528/9fqz3pEa_normal.jpg")</f>
        <v>http://pbs.twimg.com/profile_images/1272568386355179528/9fqz3pEa_normal.jpg</v>
      </c>
      <c r="G188" s="70"/>
      <c r="H188" s="74"/>
      <c r="I188" s="75"/>
      <c r="J188" s="75"/>
      <c r="K188" s="74" t="s">
        <v>2992</v>
      </c>
      <c r="L188" s="78"/>
      <c r="M188" s="79"/>
      <c r="N188" s="79"/>
      <c r="O188" s="80"/>
      <c r="P188" s="81"/>
      <c r="Q188" s="81"/>
      <c r="R188" s="93"/>
      <c r="S188" s="93"/>
      <c r="T188" s="93"/>
      <c r="U188" s="93"/>
      <c r="V188" s="52"/>
      <c r="W188" s="52"/>
      <c r="X188" s="52"/>
      <c r="Y188" s="52"/>
      <c r="Z188" s="51"/>
      <c r="AA188" s="76"/>
      <c r="AB188" s="76"/>
      <c r="AC188" s="77"/>
      <c r="AD188" s="83" t="s">
        <v>2013</v>
      </c>
      <c r="AE188" s="91" t="s">
        <v>2277</v>
      </c>
      <c r="AF188" s="83">
        <v>204</v>
      </c>
      <c r="AG188" s="83">
        <v>373</v>
      </c>
      <c r="AH188" s="83">
        <v>16669</v>
      </c>
      <c r="AI188" s="83">
        <v>17473</v>
      </c>
      <c r="AJ188" s="83"/>
      <c r="AK188" s="83" t="s">
        <v>2542</v>
      </c>
      <c r="AL188" s="83" t="s">
        <v>2756</v>
      </c>
      <c r="AM188" s="88" t="str">
        <f>HYPERLINK("https://t.co/7rwYKPzrtq")</f>
        <v>https://t.co/7rwYKPzrtq</v>
      </c>
      <c r="AN188" s="83"/>
      <c r="AO188" s="85">
        <v>39965.296701388892</v>
      </c>
      <c r="AP188" s="88" t="str">
        <f>HYPERLINK("https://pbs.twimg.com/profile_banners/43846702/1563654094")</f>
        <v>https://pbs.twimg.com/profile_banners/43846702/1563654094</v>
      </c>
      <c r="AQ188" s="83" t="b">
        <v>1</v>
      </c>
      <c r="AR188" s="83" t="b">
        <v>0</v>
      </c>
      <c r="AS188" s="83" t="b">
        <v>0</v>
      </c>
      <c r="AT188" s="83"/>
      <c r="AU188" s="83">
        <v>6</v>
      </c>
      <c r="AV188" s="88" t="str">
        <f t="shared" si="0"/>
        <v>http://abs.twimg.com/images/themes/theme1/bg.png</v>
      </c>
      <c r="AW188" s="83" t="b">
        <v>0</v>
      </c>
      <c r="AX188" s="83" t="s">
        <v>2807</v>
      </c>
      <c r="AY188" s="88" t="str">
        <f>HYPERLINK("https://twitter.com/alisondcarr")</f>
        <v>https://twitter.com/alisondcarr</v>
      </c>
      <c r="AZ188" s="83" t="s">
        <v>66</v>
      </c>
      <c r="BA188" s="2"/>
      <c r="BB188" s="3"/>
      <c r="BC188" s="3"/>
      <c r="BD188" s="3"/>
      <c r="BE188" s="3"/>
    </row>
    <row r="189" spans="1:57" x14ac:dyDescent="0.2">
      <c r="A189" s="69" t="s">
        <v>378</v>
      </c>
      <c r="B189" s="70"/>
      <c r="C189" s="70"/>
      <c r="D189" s="71"/>
      <c r="E189" s="73"/>
      <c r="F189" s="109" t="str">
        <f>HYPERLINK("http://pbs.twimg.com/profile_images/1267021882932498433/MpMbAtFX_normal.jpg")</f>
        <v>http://pbs.twimg.com/profile_images/1267021882932498433/MpMbAtFX_normal.jpg</v>
      </c>
      <c r="G189" s="70"/>
      <c r="H189" s="74"/>
      <c r="I189" s="75"/>
      <c r="J189" s="75"/>
      <c r="K189" s="74" t="s">
        <v>2993</v>
      </c>
      <c r="L189" s="78"/>
      <c r="M189" s="79"/>
      <c r="N189" s="79"/>
      <c r="O189" s="80"/>
      <c r="P189" s="81"/>
      <c r="Q189" s="81"/>
      <c r="R189" s="93"/>
      <c r="S189" s="93"/>
      <c r="T189" s="93"/>
      <c r="U189" s="93"/>
      <c r="V189" s="52"/>
      <c r="W189" s="52"/>
      <c r="X189" s="52"/>
      <c r="Y189" s="52"/>
      <c r="Z189" s="51"/>
      <c r="AA189" s="76"/>
      <c r="AB189" s="76"/>
      <c r="AC189" s="77"/>
      <c r="AD189" s="83" t="s">
        <v>2014</v>
      </c>
      <c r="AE189" s="91" t="s">
        <v>2278</v>
      </c>
      <c r="AF189" s="83">
        <v>131</v>
      </c>
      <c r="AG189" s="83">
        <v>829</v>
      </c>
      <c r="AH189" s="83">
        <v>67284</v>
      </c>
      <c r="AI189" s="83">
        <v>33629</v>
      </c>
      <c r="AJ189" s="83"/>
      <c r="AK189" s="83" t="s">
        <v>2543</v>
      </c>
      <c r="AL189" s="83" t="s">
        <v>2757</v>
      </c>
      <c r="AM189" s="83"/>
      <c r="AN189" s="83"/>
      <c r="AO189" s="85">
        <v>40869.581296296295</v>
      </c>
      <c r="AP189" s="88" t="str">
        <f>HYPERLINK("https://pbs.twimg.com/profile_banners/418711935/1529610329")</f>
        <v>https://pbs.twimg.com/profile_banners/418711935/1529610329</v>
      </c>
      <c r="AQ189" s="83" t="b">
        <v>1</v>
      </c>
      <c r="AR189" s="83" t="b">
        <v>0</v>
      </c>
      <c r="AS189" s="83" t="b">
        <v>0</v>
      </c>
      <c r="AT189" s="83"/>
      <c r="AU189" s="83">
        <v>8</v>
      </c>
      <c r="AV189" s="88" t="str">
        <f t="shared" si="0"/>
        <v>http://abs.twimg.com/images/themes/theme1/bg.png</v>
      </c>
      <c r="AW189" s="83" t="b">
        <v>0</v>
      </c>
      <c r="AX189" s="83" t="s">
        <v>2807</v>
      </c>
      <c r="AY189" s="88" t="str">
        <f>HYPERLINK("https://twitter.com/lisa_cable")</f>
        <v>https://twitter.com/lisa_cable</v>
      </c>
      <c r="AZ189" s="83" t="s">
        <v>66</v>
      </c>
      <c r="BA189" s="2"/>
      <c r="BB189" s="3"/>
      <c r="BC189" s="3"/>
      <c r="BD189" s="3"/>
      <c r="BE189" s="3"/>
    </row>
    <row r="190" spans="1:57" x14ac:dyDescent="0.2">
      <c r="A190" s="69" t="s">
        <v>449</v>
      </c>
      <c r="B190" s="70"/>
      <c r="C190" s="70"/>
      <c r="D190" s="71"/>
      <c r="E190" s="73"/>
      <c r="F190" s="109" t="str">
        <f>HYPERLINK("http://pbs.twimg.com/profile_images/1265665008765145091/nDQ9ESuZ_normal.jpg")</f>
        <v>http://pbs.twimg.com/profile_images/1265665008765145091/nDQ9ESuZ_normal.jpg</v>
      </c>
      <c r="G190" s="70"/>
      <c r="H190" s="74"/>
      <c r="I190" s="75"/>
      <c r="J190" s="75"/>
      <c r="K190" s="74" t="s">
        <v>2994</v>
      </c>
      <c r="L190" s="78"/>
      <c r="M190" s="79"/>
      <c r="N190" s="79"/>
      <c r="O190" s="80"/>
      <c r="P190" s="81"/>
      <c r="Q190" s="81"/>
      <c r="R190" s="93"/>
      <c r="S190" s="93"/>
      <c r="T190" s="93"/>
      <c r="U190" s="93"/>
      <c r="V190" s="52"/>
      <c r="W190" s="52"/>
      <c r="X190" s="52"/>
      <c r="Y190" s="52"/>
      <c r="Z190" s="51"/>
      <c r="AA190" s="76"/>
      <c r="AB190" s="76"/>
      <c r="AC190" s="77"/>
      <c r="AD190" s="83" t="s">
        <v>2015</v>
      </c>
      <c r="AE190" s="91" t="s">
        <v>2279</v>
      </c>
      <c r="AF190" s="83">
        <v>125</v>
      </c>
      <c r="AG190" s="83">
        <v>165</v>
      </c>
      <c r="AH190" s="83">
        <v>3655</v>
      </c>
      <c r="AI190" s="83">
        <v>39172</v>
      </c>
      <c r="AJ190" s="83"/>
      <c r="AK190" s="83" t="s">
        <v>2544</v>
      </c>
      <c r="AL190" s="83"/>
      <c r="AM190" s="88" t="str">
        <f>HYPERLINK("https://t.co/slnog42hhu")</f>
        <v>https://t.co/slnog42hhu</v>
      </c>
      <c r="AN190" s="83"/>
      <c r="AO190" s="85">
        <v>42628.092465277776</v>
      </c>
      <c r="AP190" s="88" t="str">
        <f>HYPERLINK("https://pbs.twimg.com/profile_banners/776242420103024640/1589985133")</f>
        <v>https://pbs.twimg.com/profile_banners/776242420103024640/1589985133</v>
      </c>
      <c r="AQ190" s="83" t="b">
        <v>0</v>
      </c>
      <c r="AR190" s="83" t="b">
        <v>0</v>
      </c>
      <c r="AS190" s="83" t="b">
        <v>0</v>
      </c>
      <c r="AT190" s="83"/>
      <c r="AU190" s="83">
        <v>1</v>
      </c>
      <c r="AV190" s="88" t="str">
        <f t="shared" si="0"/>
        <v>http://abs.twimg.com/images/themes/theme1/bg.png</v>
      </c>
      <c r="AW190" s="83" t="b">
        <v>0</v>
      </c>
      <c r="AX190" s="83" t="s">
        <v>2807</v>
      </c>
      <c r="AY190" s="88" t="str">
        <f>HYPERLINK("https://twitter.com/littlemissmeta")</f>
        <v>https://twitter.com/littlemissmeta</v>
      </c>
      <c r="AZ190" s="83" t="s">
        <v>66</v>
      </c>
      <c r="BA190" s="2"/>
      <c r="BB190" s="3"/>
      <c r="BC190" s="3"/>
      <c r="BD190" s="3"/>
      <c r="BE190" s="3"/>
    </row>
    <row r="191" spans="1:57" x14ac:dyDescent="0.2">
      <c r="A191" s="69" t="s">
        <v>379</v>
      </c>
      <c r="B191" s="70"/>
      <c r="C191" s="70"/>
      <c r="D191" s="71"/>
      <c r="E191" s="73"/>
      <c r="F191" s="109" t="str">
        <f>HYPERLINK("http://pbs.twimg.com/profile_images/1213321809656836098/E_J-VoCp_normal.jpg")</f>
        <v>http://pbs.twimg.com/profile_images/1213321809656836098/E_J-VoCp_normal.jpg</v>
      </c>
      <c r="G191" s="70"/>
      <c r="H191" s="74"/>
      <c r="I191" s="75"/>
      <c r="J191" s="75"/>
      <c r="K191" s="74" t="s">
        <v>2995</v>
      </c>
      <c r="L191" s="78"/>
      <c r="M191" s="79"/>
      <c r="N191" s="79"/>
      <c r="O191" s="80"/>
      <c r="P191" s="81"/>
      <c r="Q191" s="81"/>
      <c r="R191" s="93"/>
      <c r="S191" s="93"/>
      <c r="T191" s="93"/>
      <c r="U191" s="93"/>
      <c r="V191" s="52"/>
      <c r="W191" s="52"/>
      <c r="X191" s="52"/>
      <c r="Y191" s="52"/>
      <c r="Z191" s="51"/>
      <c r="AA191" s="76"/>
      <c r="AB191" s="76"/>
      <c r="AC191" s="77"/>
      <c r="AD191" s="83" t="s">
        <v>2016</v>
      </c>
      <c r="AE191" s="91" t="s">
        <v>2280</v>
      </c>
      <c r="AF191" s="83">
        <v>2831</v>
      </c>
      <c r="AG191" s="83">
        <v>7274</v>
      </c>
      <c r="AH191" s="83">
        <v>48619</v>
      </c>
      <c r="AI191" s="83">
        <v>54391</v>
      </c>
      <c r="AJ191" s="83"/>
      <c r="AK191" s="83" t="s">
        <v>2545</v>
      </c>
      <c r="AL191" s="83"/>
      <c r="AM191" s="83"/>
      <c r="AN191" s="83"/>
      <c r="AO191" s="85">
        <v>41901.06753472222</v>
      </c>
      <c r="AP191" s="88" t="str">
        <f>HYPERLINK("https://pbs.twimg.com/profile_banners/2818692644/1573164963")</f>
        <v>https://pbs.twimg.com/profile_banners/2818692644/1573164963</v>
      </c>
      <c r="AQ191" s="83" t="b">
        <v>1</v>
      </c>
      <c r="AR191" s="83" t="b">
        <v>0</v>
      </c>
      <c r="AS191" s="83" t="b">
        <v>0</v>
      </c>
      <c r="AT191" s="83"/>
      <c r="AU191" s="83">
        <v>51</v>
      </c>
      <c r="AV191" s="88" t="str">
        <f t="shared" si="0"/>
        <v>http://abs.twimg.com/images/themes/theme1/bg.png</v>
      </c>
      <c r="AW191" s="83" t="b">
        <v>0</v>
      </c>
      <c r="AX191" s="83" t="s">
        <v>2807</v>
      </c>
      <c r="AY191" s="88" t="str">
        <f>HYPERLINK("https://twitter.com/aryservant")</f>
        <v>https://twitter.com/aryservant</v>
      </c>
      <c r="AZ191" s="83" t="s">
        <v>66</v>
      </c>
      <c r="BA191" s="2"/>
      <c r="BB191" s="3"/>
      <c r="BC191" s="3"/>
      <c r="BD191" s="3"/>
      <c r="BE191" s="3"/>
    </row>
    <row r="192" spans="1:57" x14ac:dyDescent="0.2">
      <c r="A192" s="69" t="s">
        <v>482</v>
      </c>
      <c r="B192" s="70"/>
      <c r="C192" s="70"/>
      <c r="D192" s="71"/>
      <c r="E192" s="73"/>
      <c r="F192" s="109" t="str">
        <f>HYPERLINK("http://pbs.twimg.com/profile_images/1167057633490153472/YYicqWvs_normal.jpg")</f>
        <v>http://pbs.twimg.com/profile_images/1167057633490153472/YYicqWvs_normal.jpg</v>
      </c>
      <c r="G192" s="70"/>
      <c r="H192" s="74"/>
      <c r="I192" s="75"/>
      <c r="J192" s="75"/>
      <c r="K192" s="74" t="s">
        <v>2996</v>
      </c>
      <c r="L192" s="78"/>
      <c r="M192" s="79"/>
      <c r="N192" s="79"/>
      <c r="O192" s="80"/>
      <c r="P192" s="81"/>
      <c r="Q192" s="81"/>
      <c r="R192" s="93"/>
      <c r="S192" s="93"/>
      <c r="T192" s="93"/>
      <c r="U192" s="93"/>
      <c r="V192" s="52"/>
      <c r="W192" s="52"/>
      <c r="X192" s="52"/>
      <c r="Y192" s="52"/>
      <c r="Z192" s="51"/>
      <c r="AA192" s="76"/>
      <c r="AB192" s="76"/>
      <c r="AC192" s="77"/>
      <c r="AD192" s="83" t="s">
        <v>2017</v>
      </c>
      <c r="AE192" s="91" t="s">
        <v>2281</v>
      </c>
      <c r="AF192" s="83">
        <v>1366</v>
      </c>
      <c r="AG192" s="83">
        <v>1250</v>
      </c>
      <c r="AH192" s="83">
        <v>15961</v>
      </c>
      <c r="AI192" s="83">
        <v>30187</v>
      </c>
      <c r="AJ192" s="83"/>
      <c r="AK192" s="83" t="s">
        <v>2546</v>
      </c>
      <c r="AL192" s="83"/>
      <c r="AM192" s="83"/>
      <c r="AN192" s="83"/>
      <c r="AO192" s="85">
        <v>42616.05364583333</v>
      </c>
      <c r="AP192" s="88" t="str">
        <f>HYPERLINK("https://pbs.twimg.com/profile_banners/771879697193897984/1548992454")</f>
        <v>https://pbs.twimg.com/profile_banners/771879697193897984/1548992454</v>
      </c>
      <c r="AQ192" s="83" t="b">
        <v>1</v>
      </c>
      <c r="AR192" s="83" t="b">
        <v>0</v>
      </c>
      <c r="AS192" s="83" t="b">
        <v>0</v>
      </c>
      <c r="AT192" s="83"/>
      <c r="AU192" s="83">
        <v>4</v>
      </c>
      <c r="AV192" s="83"/>
      <c r="AW192" s="83" t="b">
        <v>0</v>
      </c>
      <c r="AX192" s="83" t="s">
        <v>2807</v>
      </c>
      <c r="AY192" s="88" t="str">
        <f>HYPERLINK("https://twitter.com/maristlizard")</f>
        <v>https://twitter.com/maristlizard</v>
      </c>
      <c r="AZ192" s="83" t="s">
        <v>65</v>
      </c>
      <c r="BA192" s="2"/>
      <c r="BB192" s="3"/>
      <c r="BC192" s="3"/>
      <c r="BD192" s="3"/>
      <c r="BE192" s="3"/>
    </row>
    <row r="193" spans="1:57" x14ac:dyDescent="0.2">
      <c r="A193" s="69" t="s">
        <v>483</v>
      </c>
      <c r="B193" s="70"/>
      <c r="C193" s="70"/>
      <c r="D193" s="71"/>
      <c r="E193" s="73"/>
      <c r="F193" s="109" t="str">
        <f>HYPERLINK("http://pbs.twimg.com/profile_images/1153092571423563776/s2ZqTymc_normal.jpg")</f>
        <v>http://pbs.twimg.com/profile_images/1153092571423563776/s2ZqTymc_normal.jpg</v>
      </c>
      <c r="G193" s="70"/>
      <c r="H193" s="74"/>
      <c r="I193" s="75"/>
      <c r="J193" s="75"/>
      <c r="K193" s="74" t="s">
        <v>2997</v>
      </c>
      <c r="L193" s="78"/>
      <c r="M193" s="79"/>
      <c r="N193" s="79"/>
      <c r="O193" s="80"/>
      <c r="P193" s="81"/>
      <c r="Q193" s="81"/>
      <c r="R193" s="93"/>
      <c r="S193" s="93"/>
      <c r="T193" s="93"/>
      <c r="U193" s="93"/>
      <c r="V193" s="52"/>
      <c r="W193" s="52"/>
      <c r="X193" s="52"/>
      <c r="Y193" s="52"/>
      <c r="Z193" s="51"/>
      <c r="AA193" s="76"/>
      <c r="AB193" s="76"/>
      <c r="AC193" s="77"/>
      <c r="AD193" s="83" t="s">
        <v>2018</v>
      </c>
      <c r="AE193" s="91" t="s">
        <v>2282</v>
      </c>
      <c r="AF193" s="83">
        <v>518</v>
      </c>
      <c r="AG193" s="83">
        <v>898</v>
      </c>
      <c r="AH193" s="83">
        <v>5247</v>
      </c>
      <c r="AI193" s="83">
        <v>2683</v>
      </c>
      <c r="AJ193" s="83"/>
      <c r="AK193" s="83" t="s">
        <v>2547</v>
      </c>
      <c r="AL193" s="83"/>
      <c r="AM193" s="83"/>
      <c r="AN193" s="83"/>
      <c r="AO193" s="85">
        <v>43171.559340277781</v>
      </c>
      <c r="AP193" s="88" t="str">
        <f>HYPERLINK("https://pbs.twimg.com/profile_banners/973188221889929216/1556115903")</f>
        <v>https://pbs.twimg.com/profile_banners/973188221889929216/1556115903</v>
      </c>
      <c r="AQ193" s="83" t="b">
        <v>0</v>
      </c>
      <c r="AR193" s="83" t="b">
        <v>0</v>
      </c>
      <c r="AS193" s="83" t="b">
        <v>0</v>
      </c>
      <c r="AT193" s="83"/>
      <c r="AU193" s="83">
        <v>2</v>
      </c>
      <c r="AV193" s="88" t="str">
        <f>HYPERLINK("http://abs.twimg.com/images/themes/theme1/bg.png")</f>
        <v>http://abs.twimg.com/images/themes/theme1/bg.png</v>
      </c>
      <c r="AW193" s="83" t="b">
        <v>0</v>
      </c>
      <c r="AX193" s="83" t="s">
        <v>2807</v>
      </c>
      <c r="AY193" s="88" t="str">
        <f>HYPERLINK("https://twitter.com/terese_little")</f>
        <v>https://twitter.com/terese_little</v>
      </c>
      <c r="AZ193" s="83" t="s">
        <v>65</v>
      </c>
      <c r="BA193" s="2"/>
      <c r="BB193" s="3"/>
      <c r="BC193" s="3"/>
      <c r="BD193" s="3"/>
      <c r="BE193" s="3"/>
    </row>
    <row r="194" spans="1:57" x14ac:dyDescent="0.2">
      <c r="A194" s="69" t="s">
        <v>484</v>
      </c>
      <c r="B194" s="70"/>
      <c r="C194" s="70"/>
      <c r="D194" s="71"/>
      <c r="E194" s="73"/>
      <c r="F194" s="109" t="str">
        <f>HYPERLINK("http://pbs.twimg.com/profile_images/788596921749344256/BWfpWErO_normal.jpg")</f>
        <v>http://pbs.twimg.com/profile_images/788596921749344256/BWfpWErO_normal.jpg</v>
      </c>
      <c r="G194" s="70"/>
      <c r="H194" s="74"/>
      <c r="I194" s="75"/>
      <c r="J194" s="75"/>
      <c r="K194" s="74" t="s">
        <v>2998</v>
      </c>
      <c r="L194" s="78"/>
      <c r="M194" s="79"/>
      <c r="N194" s="79"/>
      <c r="O194" s="80"/>
      <c r="P194" s="81"/>
      <c r="Q194" s="81"/>
      <c r="R194" s="93"/>
      <c r="S194" s="93"/>
      <c r="T194" s="93"/>
      <c r="U194" s="93"/>
      <c r="V194" s="52"/>
      <c r="W194" s="52"/>
      <c r="X194" s="52"/>
      <c r="Y194" s="52"/>
      <c r="Z194" s="51"/>
      <c r="AA194" s="76"/>
      <c r="AB194" s="76"/>
      <c r="AC194" s="77"/>
      <c r="AD194" s="83" t="s">
        <v>2019</v>
      </c>
      <c r="AE194" s="91" t="s">
        <v>1739</v>
      </c>
      <c r="AF194" s="83">
        <v>148</v>
      </c>
      <c r="AG194" s="83">
        <v>304</v>
      </c>
      <c r="AH194" s="83">
        <v>12296</v>
      </c>
      <c r="AI194" s="83">
        <v>14533</v>
      </c>
      <c r="AJ194" s="83"/>
      <c r="AK194" s="83" t="s">
        <v>2548</v>
      </c>
      <c r="AL194" s="83"/>
      <c r="AM194" s="83"/>
      <c r="AN194" s="83"/>
      <c r="AO194" s="85">
        <v>42197.864490740743</v>
      </c>
      <c r="AP194" s="83"/>
      <c r="AQ194" s="83" t="b">
        <v>0</v>
      </c>
      <c r="AR194" s="83" t="b">
        <v>0</v>
      </c>
      <c r="AS194" s="83" t="b">
        <v>0</v>
      </c>
      <c r="AT194" s="83"/>
      <c r="AU194" s="83">
        <v>0</v>
      </c>
      <c r="AV194" s="88" t="str">
        <f>HYPERLINK("http://abs.twimg.com/images/themes/theme1/bg.png")</f>
        <v>http://abs.twimg.com/images/themes/theme1/bg.png</v>
      </c>
      <c r="AW194" s="83" t="b">
        <v>0</v>
      </c>
      <c r="AX194" s="83" t="s">
        <v>2807</v>
      </c>
      <c r="AY194" s="88" t="str">
        <f>HYPERLINK("https://twitter.com/lisamariechoko4")</f>
        <v>https://twitter.com/lisamariechoko4</v>
      </c>
      <c r="AZ194" s="83" t="s">
        <v>65</v>
      </c>
      <c r="BA194" s="2"/>
      <c r="BB194" s="3"/>
      <c r="BC194" s="3"/>
      <c r="BD194" s="3"/>
      <c r="BE194" s="3"/>
    </row>
    <row r="195" spans="1:57" x14ac:dyDescent="0.2">
      <c r="A195" s="69" t="s">
        <v>380</v>
      </c>
      <c r="B195" s="70"/>
      <c r="C195" s="70"/>
      <c r="D195" s="71"/>
      <c r="E195" s="73"/>
      <c r="F195" s="109" t="str">
        <f>HYPERLINK("http://pbs.twimg.com/profile_images/1257081906601922560/rGu4T3B2_normal.jpg")</f>
        <v>http://pbs.twimg.com/profile_images/1257081906601922560/rGu4T3B2_normal.jpg</v>
      </c>
      <c r="G195" s="70"/>
      <c r="H195" s="74"/>
      <c r="I195" s="75"/>
      <c r="J195" s="75"/>
      <c r="K195" s="74" t="s">
        <v>2999</v>
      </c>
      <c r="L195" s="78"/>
      <c r="M195" s="79"/>
      <c r="N195" s="79"/>
      <c r="O195" s="80"/>
      <c r="P195" s="81"/>
      <c r="Q195" s="81"/>
      <c r="R195" s="93"/>
      <c r="S195" s="93"/>
      <c r="T195" s="93"/>
      <c r="U195" s="93"/>
      <c r="V195" s="52"/>
      <c r="W195" s="52"/>
      <c r="X195" s="52"/>
      <c r="Y195" s="52"/>
      <c r="Z195" s="51"/>
      <c r="AA195" s="76"/>
      <c r="AB195" s="76"/>
      <c r="AC195" s="77"/>
      <c r="AD195" s="83" t="s">
        <v>2020</v>
      </c>
      <c r="AE195" s="91" t="s">
        <v>2283</v>
      </c>
      <c r="AF195" s="83">
        <v>440</v>
      </c>
      <c r="AG195" s="83">
        <v>279</v>
      </c>
      <c r="AH195" s="83">
        <v>2773</v>
      </c>
      <c r="AI195" s="83">
        <v>4600</v>
      </c>
      <c r="AJ195" s="83"/>
      <c r="AK195" s="83" t="s">
        <v>2549</v>
      </c>
      <c r="AL195" s="83" t="s">
        <v>2758</v>
      </c>
      <c r="AM195" s="88" t="str">
        <f>HYPERLINK("https://t.co/wDZeL7T6zW")</f>
        <v>https://t.co/wDZeL7T6zW</v>
      </c>
      <c r="AN195" s="83"/>
      <c r="AO195" s="85">
        <v>43859.556805555556</v>
      </c>
      <c r="AP195" s="88" t="str">
        <f>HYPERLINK("https://pbs.twimg.com/profile_banners/1222509820919480320/1590911318")</f>
        <v>https://pbs.twimg.com/profile_banners/1222509820919480320/1590911318</v>
      </c>
      <c r="AQ195" s="83" t="b">
        <v>1</v>
      </c>
      <c r="AR195" s="83" t="b">
        <v>0</v>
      </c>
      <c r="AS195" s="83" t="b">
        <v>0</v>
      </c>
      <c r="AT195" s="83"/>
      <c r="AU195" s="83">
        <v>0</v>
      </c>
      <c r="AV195" s="83"/>
      <c r="AW195" s="83" t="b">
        <v>0</v>
      </c>
      <c r="AX195" s="83" t="s">
        <v>2807</v>
      </c>
      <c r="AY195" s="88" t="str">
        <f>HYPERLINK("https://twitter.com/thedesigner_17")</f>
        <v>https://twitter.com/thedesigner_17</v>
      </c>
      <c r="AZ195" s="83" t="s">
        <v>66</v>
      </c>
      <c r="BA195" s="2"/>
      <c r="BB195" s="3"/>
      <c r="BC195" s="3"/>
      <c r="BD195" s="3"/>
      <c r="BE195" s="3"/>
    </row>
    <row r="196" spans="1:57" x14ac:dyDescent="0.2">
      <c r="A196" s="69" t="s">
        <v>381</v>
      </c>
      <c r="B196" s="70"/>
      <c r="C196" s="70"/>
      <c r="D196" s="71"/>
      <c r="E196" s="73"/>
      <c r="F196" s="109" t="str">
        <f>HYPERLINK("http://pbs.twimg.com/profile_images/1241559086363111424/i6C9bonf_normal.jpg")</f>
        <v>http://pbs.twimg.com/profile_images/1241559086363111424/i6C9bonf_normal.jpg</v>
      </c>
      <c r="G196" s="70"/>
      <c r="H196" s="74"/>
      <c r="I196" s="75"/>
      <c r="J196" s="75"/>
      <c r="K196" s="74" t="s">
        <v>3000</v>
      </c>
      <c r="L196" s="78"/>
      <c r="M196" s="79"/>
      <c r="N196" s="79"/>
      <c r="O196" s="80"/>
      <c r="P196" s="81"/>
      <c r="Q196" s="81"/>
      <c r="R196" s="93"/>
      <c r="S196" s="93"/>
      <c r="T196" s="93"/>
      <c r="U196" s="93"/>
      <c r="V196" s="52"/>
      <c r="W196" s="52"/>
      <c r="X196" s="52"/>
      <c r="Y196" s="52"/>
      <c r="Z196" s="51"/>
      <c r="AA196" s="76"/>
      <c r="AB196" s="76"/>
      <c r="AC196" s="77"/>
      <c r="AD196" s="83" t="s">
        <v>2021</v>
      </c>
      <c r="AE196" s="91" t="s">
        <v>2284</v>
      </c>
      <c r="AF196" s="83">
        <v>554</v>
      </c>
      <c r="AG196" s="83">
        <v>257</v>
      </c>
      <c r="AH196" s="83">
        <v>519</v>
      </c>
      <c r="AI196" s="83">
        <v>2897</v>
      </c>
      <c r="AJ196" s="83"/>
      <c r="AK196" s="83" t="s">
        <v>2550</v>
      </c>
      <c r="AL196" s="83"/>
      <c r="AM196" s="83"/>
      <c r="AN196" s="83"/>
      <c r="AO196" s="85">
        <v>43912.119328703702</v>
      </c>
      <c r="AP196" s="88" t="str">
        <f>HYPERLINK("https://pbs.twimg.com/profile_banners/1241557970476883969/1584931189")</f>
        <v>https://pbs.twimg.com/profile_banners/1241557970476883969/1584931189</v>
      </c>
      <c r="AQ196" s="83" t="b">
        <v>1</v>
      </c>
      <c r="AR196" s="83" t="b">
        <v>0</v>
      </c>
      <c r="AS196" s="83" t="b">
        <v>0</v>
      </c>
      <c r="AT196" s="83"/>
      <c r="AU196" s="83">
        <v>0</v>
      </c>
      <c r="AV196" s="83"/>
      <c r="AW196" s="83" t="b">
        <v>0</v>
      </c>
      <c r="AX196" s="83" t="s">
        <v>2807</v>
      </c>
      <c r="AY196" s="88" t="str">
        <f>HYPERLINK("https://twitter.com/humbert42454958")</f>
        <v>https://twitter.com/humbert42454958</v>
      </c>
      <c r="AZ196" s="83" t="s">
        <v>66</v>
      </c>
      <c r="BA196" s="2"/>
      <c r="BB196" s="3"/>
      <c r="BC196" s="3"/>
      <c r="BD196" s="3"/>
      <c r="BE196" s="3"/>
    </row>
    <row r="197" spans="1:57" x14ac:dyDescent="0.2">
      <c r="A197" s="69" t="s">
        <v>382</v>
      </c>
      <c r="B197" s="70"/>
      <c r="C197" s="70"/>
      <c r="D197" s="71"/>
      <c r="E197" s="73"/>
      <c r="F197" s="109" t="str">
        <f>HYPERLINK("http://pbs.twimg.com/profile_images/876780477096620033/TIBpQx48_normal.jpg")</f>
        <v>http://pbs.twimg.com/profile_images/876780477096620033/TIBpQx48_normal.jpg</v>
      </c>
      <c r="G197" s="70"/>
      <c r="H197" s="74"/>
      <c r="I197" s="75"/>
      <c r="J197" s="75"/>
      <c r="K197" s="74" t="s">
        <v>3001</v>
      </c>
      <c r="L197" s="78"/>
      <c r="M197" s="79"/>
      <c r="N197" s="79"/>
      <c r="O197" s="80"/>
      <c r="P197" s="81"/>
      <c r="Q197" s="81"/>
      <c r="R197" s="93"/>
      <c r="S197" s="93"/>
      <c r="T197" s="93"/>
      <c r="U197" s="93"/>
      <c r="V197" s="52"/>
      <c r="W197" s="52"/>
      <c r="X197" s="52"/>
      <c r="Y197" s="52"/>
      <c r="Z197" s="51"/>
      <c r="AA197" s="76"/>
      <c r="AB197" s="76"/>
      <c r="AC197" s="77"/>
      <c r="AD197" s="83" t="s">
        <v>2022</v>
      </c>
      <c r="AE197" s="91" t="s">
        <v>2285</v>
      </c>
      <c r="AF197" s="83">
        <v>314</v>
      </c>
      <c r="AG197" s="83">
        <v>1110</v>
      </c>
      <c r="AH197" s="83">
        <v>9291</v>
      </c>
      <c r="AI197" s="83">
        <v>4691</v>
      </c>
      <c r="AJ197" s="83"/>
      <c r="AK197" s="83" t="s">
        <v>2551</v>
      </c>
      <c r="AL197" s="83" t="s">
        <v>2759</v>
      </c>
      <c r="AM197" s="88" t="str">
        <f>HYPERLINK("https://t.co/wWioHHWhCo")</f>
        <v>https://t.co/wWioHHWhCo</v>
      </c>
      <c r="AN197" s="83"/>
      <c r="AO197" s="85">
        <v>40247.996006944442</v>
      </c>
      <c r="AP197" s="88" t="str">
        <f>HYPERLINK("https://pbs.twimg.com/profile_banners/121899642/1398441296")</f>
        <v>https://pbs.twimg.com/profile_banners/121899642/1398441296</v>
      </c>
      <c r="AQ197" s="83" t="b">
        <v>0</v>
      </c>
      <c r="AR197" s="83" t="b">
        <v>0</v>
      </c>
      <c r="AS197" s="83" t="b">
        <v>1</v>
      </c>
      <c r="AT197" s="83"/>
      <c r="AU197" s="83">
        <v>65</v>
      </c>
      <c r="AV197" s="88" t="str">
        <f>HYPERLINK("http://abs.twimg.com/images/themes/theme1/bg.png")</f>
        <v>http://abs.twimg.com/images/themes/theme1/bg.png</v>
      </c>
      <c r="AW197" s="83" t="b">
        <v>0</v>
      </c>
      <c r="AX197" s="83" t="s">
        <v>2807</v>
      </c>
      <c r="AY197" s="88" t="str">
        <f>HYPERLINK("https://twitter.com/ianbursillphoto")</f>
        <v>https://twitter.com/ianbursillphoto</v>
      </c>
      <c r="AZ197" s="83" t="s">
        <v>66</v>
      </c>
      <c r="BA197" s="2"/>
      <c r="BB197" s="3"/>
      <c r="BC197" s="3"/>
      <c r="BD197" s="3"/>
      <c r="BE197" s="3"/>
    </row>
    <row r="198" spans="1:57" x14ac:dyDescent="0.2">
      <c r="A198" s="69" t="s">
        <v>383</v>
      </c>
      <c r="B198" s="70"/>
      <c r="C198" s="70"/>
      <c r="D198" s="71"/>
      <c r="E198" s="73"/>
      <c r="F198" s="109" t="str">
        <f>HYPERLINK("http://pbs.twimg.com/profile_images/1194592053910335488/hjXa5Yk5_normal.jpg")</f>
        <v>http://pbs.twimg.com/profile_images/1194592053910335488/hjXa5Yk5_normal.jpg</v>
      </c>
      <c r="G198" s="70"/>
      <c r="H198" s="74"/>
      <c r="I198" s="75"/>
      <c r="J198" s="75"/>
      <c r="K198" s="74" t="s">
        <v>3002</v>
      </c>
      <c r="L198" s="78"/>
      <c r="M198" s="79"/>
      <c r="N198" s="79"/>
      <c r="O198" s="80"/>
      <c r="P198" s="81"/>
      <c r="Q198" s="81"/>
      <c r="R198" s="93"/>
      <c r="S198" s="93"/>
      <c r="T198" s="93"/>
      <c r="U198" s="93"/>
      <c r="V198" s="52"/>
      <c r="W198" s="52"/>
      <c r="X198" s="52"/>
      <c r="Y198" s="52"/>
      <c r="Z198" s="51"/>
      <c r="AA198" s="76"/>
      <c r="AB198" s="76"/>
      <c r="AC198" s="77"/>
      <c r="AD198" s="83" t="s">
        <v>2023</v>
      </c>
      <c r="AE198" s="91" t="s">
        <v>2286</v>
      </c>
      <c r="AF198" s="83">
        <v>1320</v>
      </c>
      <c r="AG198" s="83">
        <v>1340</v>
      </c>
      <c r="AH198" s="83">
        <v>6211</v>
      </c>
      <c r="AI198" s="83">
        <v>10480</v>
      </c>
      <c r="AJ198" s="83"/>
      <c r="AK198" s="83" t="s">
        <v>2552</v>
      </c>
      <c r="AL198" s="83" t="s">
        <v>2760</v>
      </c>
      <c r="AM198" s="83"/>
      <c r="AN198" s="83"/>
      <c r="AO198" s="85">
        <v>43042.343530092592</v>
      </c>
      <c r="AP198" s="88" t="str">
        <f>HYPERLINK("https://pbs.twimg.com/profile_banners/926361980704657408/1594483116")</f>
        <v>https://pbs.twimg.com/profile_banners/926361980704657408/1594483116</v>
      </c>
      <c r="AQ198" s="83" t="b">
        <v>1</v>
      </c>
      <c r="AR198" s="83" t="b">
        <v>0</v>
      </c>
      <c r="AS198" s="83" t="b">
        <v>1</v>
      </c>
      <c r="AT198" s="83"/>
      <c r="AU198" s="83">
        <v>1</v>
      </c>
      <c r="AV198" s="83"/>
      <c r="AW198" s="83" t="b">
        <v>0</v>
      </c>
      <c r="AX198" s="83" t="s">
        <v>2807</v>
      </c>
      <c r="AY198" s="88" t="str">
        <f>HYPERLINK("https://twitter.com/mihoppy_pokego")</f>
        <v>https://twitter.com/mihoppy_pokego</v>
      </c>
      <c r="AZ198" s="83" t="s">
        <v>66</v>
      </c>
      <c r="BA198" s="2"/>
      <c r="BB198" s="3"/>
      <c r="BC198" s="3"/>
      <c r="BD198" s="3"/>
      <c r="BE198" s="3"/>
    </row>
    <row r="199" spans="1:57" x14ac:dyDescent="0.2">
      <c r="A199" s="69" t="s">
        <v>384</v>
      </c>
      <c r="B199" s="70"/>
      <c r="C199" s="70"/>
      <c r="D199" s="71"/>
      <c r="E199" s="73"/>
      <c r="F199" s="109" t="str">
        <f>HYPERLINK("http://pbs.twimg.com/profile_images/1193949223273799680/-xeedv1A_normal.jpg")</f>
        <v>http://pbs.twimg.com/profile_images/1193949223273799680/-xeedv1A_normal.jpg</v>
      </c>
      <c r="G199" s="70"/>
      <c r="H199" s="74"/>
      <c r="I199" s="75"/>
      <c r="J199" s="75"/>
      <c r="K199" s="74" t="s">
        <v>3003</v>
      </c>
      <c r="L199" s="78"/>
      <c r="M199" s="79"/>
      <c r="N199" s="79"/>
      <c r="O199" s="80"/>
      <c r="P199" s="81"/>
      <c r="Q199" s="81"/>
      <c r="R199" s="93"/>
      <c r="S199" s="93"/>
      <c r="T199" s="93"/>
      <c r="U199" s="93"/>
      <c r="V199" s="52"/>
      <c r="W199" s="52"/>
      <c r="X199" s="52"/>
      <c r="Y199" s="52"/>
      <c r="Z199" s="51"/>
      <c r="AA199" s="76"/>
      <c r="AB199" s="76"/>
      <c r="AC199" s="77"/>
      <c r="AD199" s="83" t="s">
        <v>2024</v>
      </c>
      <c r="AE199" s="91" t="s">
        <v>2287</v>
      </c>
      <c r="AF199" s="83">
        <v>302</v>
      </c>
      <c r="AG199" s="83">
        <v>291</v>
      </c>
      <c r="AH199" s="83">
        <v>1190</v>
      </c>
      <c r="AI199" s="83">
        <v>3628</v>
      </c>
      <c r="AJ199" s="83"/>
      <c r="AK199" s="83" t="s">
        <v>2553</v>
      </c>
      <c r="AL199" s="83"/>
      <c r="AM199" s="83"/>
      <c r="AN199" s="83"/>
      <c r="AO199" s="85">
        <v>41824.983553240738</v>
      </c>
      <c r="AP199" s="88" t="str">
        <f>HYPERLINK("https://pbs.twimg.com/profile_banners/2604362737/1522773725")</f>
        <v>https://pbs.twimg.com/profile_banners/2604362737/1522773725</v>
      </c>
      <c r="AQ199" s="83" t="b">
        <v>1</v>
      </c>
      <c r="AR199" s="83" t="b">
        <v>0</v>
      </c>
      <c r="AS199" s="83" t="b">
        <v>1</v>
      </c>
      <c r="AT199" s="83"/>
      <c r="AU199" s="83">
        <v>0</v>
      </c>
      <c r="AV199" s="88" t="str">
        <f>HYPERLINK("http://abs.twimg.com/images/themes/theme1/bg.png")</f>
        <v>http://abs.twimg.com/images/themes/theme1/bg.png</v>
      </c>
      <c r="AW199" s="83" t="b">
        <v>0</v>
      </c>
      <c r="AX199" s="83" t="s">
        <v>2807</v>
      </c>
      <c r="AY199" s="88" t="str">
        <f>HYPERLINK("https://twitter.com/connor_mosher")</f>
        <v>https://twitter.com/connor_mosher</v>
      </c>
      <c r="AZ199" s="83" t="s">
        <v>66</v>
      </c>
      <c r="BA199" s="2"/>
      <c r="BB199" s="3"/>
      <c r="BC199" s="3"/>
      <c r="BD199" s="3"/>
      <c r="BE199" s="3"/>
    </row>
    <row r="200" spans="1:57" x14ac:dyDescent="0.2">
      <c r="A200" s="69" t="s">
        <v>385</v>
      </c>
      <c r="B200" s="70"/>
      <c r="C200" s="70"/>
      <c r="D200" s="71"/>
      <c r="E200" s="73"/>
      <c r="F200" s="109" t="str">
        <f>HYPERLINK("http://pbs.twimg.com/profile_images/1250901988524597252/lda_v6f4_normal.jpg")</f>
        <v>http://pbs.twimg.com/profile_images/1250901988524597252/lda_v6f4_normal.jpg</v>
      </c>
      <c r="G200" s="70"/>
      <c r="H200" s="74"/>
      <c r="I200" s="75"/>
      <c r="J200" s="75"/>
      <c r="K200" s="74" t="s">
        <v>3004</v>
      </c>
      <c r="L200" s="78"/>
      <c r="M200" s="79"/>
      <c r="N200" s="79"/>
      <c r="O200" s="80"/>
      <c r="P200" s="81"/>
      <c r="Q200" s="81"/>
      <c r="R200" s="93"/>
      <c r="S200" s="93"/>
      <c r="T200" s="93"/>
      <c r="U200" s="93"/>
      <c r="V200" s="52"/>
      <c r="W200" s="52"/>
      <c r="X200" s="52"/>
      <c r="Y200" s="52"/>
      <c r="Z200" s="51"/>
      <c r="AA200" s="76"/>
      <c r="AB200" s="76"/>
      <c r="AC200" s="77"/>
      <c r="AD200" s="83" t="s">
        <v>385</v>
      </c>
      <c r="AE200" s="91" t="s">
        <v>2288</v>
      </c>
      <c r="AF200" s="83">
        <v>87</v>
      </c>
      <c r="AG200" s="83">
        <v>5</v>
      </c>
      <c r="AH200" s="83">
        <v>38</v>
      </c>
      <c r="AI200" s="83">
        <v>92</v>
      </c>
      <c r="AJ200" s="83"/>
      <c r="AK200" s="83"/>
      <c r="AL200" s="83"/>
      <c r="AM200" s="83"/>
      <c r="AN200" s="83"/>
      <c r="AO200" s="85">
        <v>43937.902326388888</v>
      </c>
      <c r="AP200" s="83"/>
      <c r="AQ200" s="83" t="b">
        <v>1</v>
      </c>
      <c r="AR200" s="83" t="b">
        <v>0</v>
      </c>
      <c r="AS200" s="83" t="b">
        <v>0</v>
      </c>
      <c r="AT200" s="83"/>
      <c r="AU200" s="83">
        <v>0</v>
      </c>
      <c r="AV200" s="83"/>
      <c r="AW200" s="83" t="b">
        <v>0</v>
      </c>
      <c r="AX200" s="83" t="s">
        <v>2807</v>
      </c>
      <c r="AY200" s="88" t="str">
        <f>HYPERLINK("https://twitter.com/scoopalou")</f>
        <v>https://twitter.com/scoopalou</v>
      </c>
      <c r="AZ200" s="83" t="s">
        <v>66</v>
      </c>
      <c r="BA200" s="2"/>
      <c r="BB200" s="3"/>
      <c r="BC200" s="3"/>
      <c r="BD200" s="3"/>
      <c r="BE200" s="3"/>
    </row>
    <row r="201" spans="1:57" x14ac:dyDescent="0.2">
      <c r="A201" s="69" t="s">
        <v>386</v>
      </c>
      <c r="B201" s="70"/>
      <c r="C201" s="70"/>
      <c r="D201" s="71"/>
      <c r="E201" s="73"/>
      <c r="F201" s="109" t="str">
        <f>HYPERLINK("http://pbs.twimg.com/profile_images/1275911897854939136/dkpjGejU_normal.jpg")</f>
        <v>http://pbs.twimg.com/profile_images/1275911897854939136/dkpjGejU_normal.jpg</v>
      </c>
      <c r="G201" s="70"/>
      <c r="H201" s="74"/>
      <c r="I201" s="75"/>
      <c r="J201" s="75"/>
      <c r="K201" s="74" t="s">
        <v>3005</v>
      </c>
      <c r="L201" s="78"/>
      <c r="M201" s="79"/>
      <c r="N201" s="79"/>
      <c r="O201" s="80"/>
      <c r="P201" s="81"/>
      <c r="Q201" s="81"/>
      <c r="R201" s="93"/>
      <c r="S201" s="93"/>
      <c r="T201" s="93"/>
      <c r="U201" s="93"/>
      <c r="V201" s="52"/>
      <c r="W201" s="52"/>
      <c r="X201" s="52"/>
      <c r="Y201" s="52"/>
      <c r="Z201" s="51"/>
      <c r="AA201" s="76"/>
      <c r="AB201" s="76"/>
      <c r="AC201" s="77"/>
      <c r="AD201" s="83" t="s">
        <v>2025</v>
      </c>
      <c r="AE201" s="91" t="s">
        <v>2289</v>
      </c>
      <c r="AF201" s="83">
        <v>243</v>
      </c>
      <c r="AG201" s="83">
        <v>101</v>
      </c>
      <c r="AH201" s="83">
        <v>1514</v>
      </c>
      <c r="AI201" s="83">
        <v>1736</v>
      </c>
      <c r="AJ201" s="83"/>
      <c r="AK201" s="83" t="s">
        <v>2554</v>
      </c>
      <c r="AL201" s="83" t="s">
        <v>2761</v>
      </c>
      <c r="AM201" s="83"/>
      <c r="AN201" s="83"/>
      <c r="AO201" s="85">
        <v>43930.907465277778</v>
      </c>
      <c r="AP201" s="88" t="str">
        <f>HYPERLINK("https://pbs.twimg.com/profile_banners/1248366717803388928/1592500217")</f>
        <v>https://pbs.twimg.com/profile_banners/1248366717803388928/1592500217</v>
      </c>
      <c r="AQ201" s="83" t="b">
        <v>1</v>
      </c>
      <c r="AR201" s="83" t="b">
        <v>0</v>
      </c>
      <c r="AS201" s="83" t="b">
        <v>0</v>
      </c>
      <c r="AT201" s="83"/>
      <c r="AU201" s="83">
        <v>2</v>
      </c>
      <c r="AV201" s="83"/>
      <c r="AW201" s="83" t="b">
        <v>0</v>
      </c>
      <c r="AX201" s="83" t="s">
        <v>2807</v>
      </c>
      <c r="AY201" s="88" t="str">
        <f>HYPERLINK("https://twitter.com/dissidentpr1")</f>
        <v>https://twitter.com/dissidentpr1</v>
      </c>
      <c r="AZ201" s="83" t="s">
        <v>66</v>
      </c>
      <c r="BA201" s="2"/>
      <c r="BB201" s="3"/>
      <c r="BC201" s="3"/>
      <c r="BD201" s="3"/>
      <c r="BE201" s="3"/>
    </row>
    <row r="202" spans="1:57" x14ac:dyDescent="0.2">
      <c r="A202" s="69" t="s">
        <v>387</v>
      </c>
      <c r="B202" s="70"/>
      <c r="C202" s="70"/>
      <c r="D202" s="71"/>
      <c r="E202" s="73"/>
      <c r="F202" s="109" t="str">
        <f>HYPERLINK("http://pbs.twimg.com/profile_images/924392479155093504/y4_q8IRU_normal.jpg")</f>
        <v>http://pbs.twimg.com/profile_images/924392479155093504/y4_q8IRU_normal.jpg</v>
      </c>
      <c r="G202" s="70"/>
      <c r="H202" s="74"/>
      <c r="I202" s="75"/>
      <c r="J202" s="75"/>
      <c r="K202" s="74" t="s">
        <v>3006</v>
      </c>
      <c r="L202" s="78"/>
      <c r="M202" s="79"/>
      <c r="N202" s="79"/>
      <c r="O202" s="80"/>
      <c r="P202" s="81"/>
      <c r="Q202" s="81"/>
      <c r="R202" s="93"/>
      <c r="S202" s="93"/>
      <c r="T202" s="93"/>
      <c r="U202" s="93"/>
      <c r="V202" s="52"/>
      <c r="W202" s="52"/>
      <c r="X202" s="52"/>
      <c r="Y202" s="52"/>
      <c r="Z202" s="51"/>
      <c r="AA202" s="76"/>
      <c r="AB202" s="76"/>
      <c r="AC202" s="77"/>
      <c r="AD202" s="83" t="s">
        <v>2026</v>
      </c>
      <c r="AE202" s="91" t="s">
        <v>2290</v>
      </c>
      <c r="AF202" s="83">
        <v>109</v>
      </c>
      <c r="AG202" s="83">
        <v>17</v>
      </c>
      <c r="AH202" s="83">
        <v>392</v>
      </c>
      <c r="AI202" s="83">
        <v>1658</v>
      </c>
      <c r="AJ202" s="83"/>
      <c r="AK202" s="83" t="s">
        <v>2555</v>
      </c>
      <c r="AL202" s="83"/>
      <c r="AM202" s="83"/>
      <c r="AN202" s="83"/>
      <c r="AO202" s="85">
        <v>43036.900810185187</v>
      </c>
      <c r="AP202" s="88" t="str">
        <f>HYPERLINK("https://pbs.twimg.com/profile_banners/924389603032756225/1509227346")</f>
        <v>https://pbs.twimg.com/profile_banners/924389603032756225/1509227346</v>
      </c>
      <c r="AQ202" s="83" t="b">
        <v>1</v>
      </c>
      <c r="AR202" s="83" t="b">
        <v>0</v>
      </c>
      <c r="AS202" s="83" t="b">
        <v>0</v>
      </c>
      <c r="AT202" s="83"/>
      <c r="AU202" s="83">
        <v>0</v>
      </c>
      <c r="AV202" s="83"/>
      <c r="AW202" s="83" t="b">
        <v>0</v>
      </c>
      <c r="AX202" s="83" t="s">
        <v>2807</v>
      </c>
      <c r="AY202" s="88" t="str">
        <f>HYPERLINK("https://twitter.com/kguegallagher")</f>
        <v>https://twitter.com/kguegallagher</v>
      </c>
      <c r="AZ202" s="83" t="s">
        <v>66</v>
      </c>
      <c r="BA202" s="2"/>
      <c r="BB202" s="3"/>
      <c r="BC202" s="3"/>
      <c r="BD202" s="3"/>
      <c r="BE202" s="3"/>
    </row>
    <row r="203" spans="1:57" x14ac:dyDescent="0.2">
      <c r="A203" s="69" t="s">
        <v>388</v>
      </c>
      <c r="B203" s="70"/>
      <c r="C203" s="70"/>
      <c r="D203" s="71"/>
      <c r="E203" s="73"/>
      <c r="F203" s="109" t="str">
        <f>HYPERLINK("http://pbs.twimg.com/profile_images/1133225889037086721/75vP7eqZ_normal.jpg")</f>
        <v>http://pbs.twimg.com/profile_images/1133225889037086721/75vP7eqZ_normal.jpg</v>
      </c>
      <c r="G203" s="70"/>
      <c r="H203" s="74"/>
      <c r="I203" s="75"/>
      <c r="J203" s="75"/>
      <c r="K203" s="74" t="s">
        <v>3007</v>
      </c>
      <c r="L203" s="78"/>
      <c r="M203" s="79"/>
      <c r="N203" s="79"/>
      <c r="O203" s="80"/>
      <c r="P203" s="81"/>
      <c r="Q203" s="81"/>
      <c r="R203" s="93"/>
      <c r="S203" s="93"/>
      <c r="T203" s="93"/>
      <c r="U203" s="93"/>
      <c r="V203" s="52"/>
      <c r="W203" s="52"/>
      <c r="X203" s="52"/>
      <c r="Y203" s="52"/>
      <c r="Z203" s="51"/>
      <c r="AA203" s="76"/>
      <c r="AB203" s="76"/>
      <c r="AC203" s="77"/>
      <c r="AD203" s="83" t="s">
        <v>2027</v>
      </c>
      <c r="AE203" s="91" t="s">
        <v>2291</v>
      </c>
      <c r="AF203" s="83">
        <v>39</v>
      </c>
      <c r="AG203" s="83">
        <v>167</v>
      </c>
      <c r="AH203" s="83">
        <v>6876</v>
      </c>
      <c r="AI203" s="83">
        <v>22426</v>
      </c>
      <c r="AJ203" s="83"/>
      <c r="AK203" s="83" t="s">
        <v>2556</v>
      </c>
      <c r="AL203" s="83" t="s">
        <v>2762</v>
      </c>
      <c r="AM203" s="83"/>
      <c r="AN203" s="83"/>
      <c r="AO203" s="85">
        <v>42205.95548611111</v>
      </c>
      <c r="AP203" s="88" t="str">
        <f>HYPERLINK("https://pbs.twimg.com/profile_banners/3285917179/1536786963")</f>
        <v>https://pbs.twimg.com/profile_banners/3285917179/1536786963</v>
      </c>
      <c r="AQ203" s="83" t="b">
        <v>1</v>
      </c>
      <c r="AR203" s="83" t="b">
        <v>0</v>
      </c>
      <c r="AS203" s="83" t="b">
        <v>1</v>
      </c>
      <c r="AT203" s="83"/>
      <c r="AU203" s="83">
        <v>16</v>
      </c>
      <c r="AV203" s="88" t="str">
        <f>HYPERLINK("http://abs.twimg.com/images/themes/theme1/bg.png")</f>
        <v>http://abs.twimg.com/images/themes/theme1/bg.png</v>
      </c>
      <c r="AW203" s="83" t="b">
        <v>0</v>
      </c>
      <c r="AX203" s="83" t="s">
        <v>2807</v>
      </c>
      <c r="AY203" s="88" t="str">
        <f>HYPERLINK("https://twitter.com/mikeytvjonez")</f>
        <v>https://twitter.com/mikeytvjonez</v>
      </c>
      <c r="AZ203" s="83" t="s">
        <v>66</v>
      </c>
      <c r="BA203" s="2"/>
      <c r="BB203" s="3"/>
      <c r="BC203" s="3"/>
      <c r="BD203" s="3"/>
      <c r="BE203" s="3"/>
    </row>
    <row r="204" spans="1:57" x14ac:dyDescent="0.2">
      <c r="A204" s="69" t="s">
        <v>389</v>
      </c>
      <c r="B204" s="70"/>
      <c r="C204" s="70"/>
      <c r="D204" s="71"/>
      <c r="E204" s="73"/>
      <c r="F204" s="109" t="str">
        <f>HYPERLINK("http://pbs.twimg.com/profile_images/1229647436005527552/QHJa5zVI_normal.jpg")</f>
        <v>http://pbs.twimg.com/profile_images/1229647436005527552/QHJa5zVI_normal.jpg</v>
      </c>
      <c r="G204" s="70"/>
      <c r="H204" s="74"/>
      <c r="I204" s="75"/>
      <c r="J204" s="75"/>
      <c r="K204" s="74" t="s">
        <v>3008</v>
      </c>
      <c r="L204" s="78"/>
      <c r="M204" s="79"/>
      <c r="N204" s="79"/>
      <c r="O204" s="80"/>
      <c r="P204" s="81"/>
      <c r="Q204" s="81"/>
      <c r="R204" s="93"/>
      <c r="S204" s="93"/>
      <c r="T204" s="93"/>
      <c r="U204" s="93"/>
      <c r="V204" s="52"/>
      <c r="W204" s="52"/>
      <c r="X204" s="52"/>
      <c r="Y204" s="52"/>
      <c r="Z204" s="51"/>
      <c r="AA204" s="76"/>
      <c r="AB204" s="76"/>
      <c r="AC204" s="77"/>
      <c r="AD204" s="83" t="s">
        <v>2028</v>
      </c>
      <c r="AE204" s="91" t="s">
        <v>2292</v>
      </c>
      <c r="AF204" s="83">
        <v>202</v>
      </c>
      <c r="AG204" s="83">
        <v>119</v>
      </c>
      <c r="AH204" s="83">
        <v>5704</v>
      </c>
      <c r="AI204" s="83">
        <v>8765</v>
      </c>
      <c r="AJ204" s="83"/>
      <c r="AK204" s="83" t="s">
        <v>2557</v>
      </c>
      <c r="AL204" s="83" t="s">
        <v>2663</v>
      </c>
      <c r="AM204" s="83"/>
      <c r="AN204" s="83"/>
      <c r="AO204" s="85">
        <v>42450.741284722222</v>
      </c>
      <c r="AP204" s="88" t="str">
        <f>HYPERLINK("https://pbs.twimg.com/profile_banners/711972503967518720/1582058336")</f>
        <v>https://pbs.twimg.com/profile_banners/711972503967518720/1582058336</v>
      </c>
      <c r="AQ204" s="83" t="b">
        <v>1</v>
      </c>
      <c r="AR204" s="83" t="b">
        <v>0</v>
      </c>
      <c r="AS204" s="83" t="b">
        <v>1</v>
      </c>
      <c r="AT204" s="83"/>
      <c r="AU204" s="83">
        <v>2</v>
      </c>
      <c r="AV204" s="83"/>
      <c r="AW204" s="83" t="b">
        <v>0</v>
      </c>
      <c r="AX204" s="83" t="s">
        <v>2807</v>
      </c>
      <c r="AY204" s="88" t="str">
        <f>HYPERLINK("https://twitter.com/peachpriestess")</f>
        <v>https://twitter.com/peachpriestess</v>
      </c>
      <c r="AZ204" s="83" t="s">
        <v>66</v>
      </c>
      <c r="BA204" s="2"/>
      <c r="BB204" s="3"/>
      <c r="BC204" s="3"/>
      <c r="BD204" s="3"/>
      <c r="BE204" s="3"/>
    </row>
    <row r="205" spans="1:57" x14ac:dyDescent="0.2">
      <c r="A205" s="69" t="s">
        <v>390</v>
      </c>
      <c r="B205" s="70"/>
      <c r="C205" s="70"/>
      <c r="D205" s="71"/>
      <c r="E205" s="73"/>
      <c r="F205" s="109" t="str">
        <f>HYPERLINK("http://pbs.twimg.com/profile_images/1131225716102717440/tOzx1LHe_normal.jpg")</f>
        <v>http://pbs.twimg.com/profile_images/1131225716102717440/tOzx1LHe_normal.jpg</v>
      </c>
      <c r="G205" s="70"/>
      <c r="H205" s="74"/>
      <c r="I205" s="75"/>
      <c r="J205" s="75"/>
      <c r="K205" s="74" t="s">
        <v>3009</v>
      </c>
      <c r="L205" s="78"/>
      <c r="M205" s="79"/>
      <c r="N205" s="79"/>
      <c r="O205" s="80"/>
      <c r="P205" s="81"/>
      <c r="Q205" s="81"/>
      <c r="R205" s="93"/>
      <c r="S205" s="93"/>
      <c r="T205" s="93"/>
      <c r="U205" s="93"/>
      <c r="V205" s="52"/>
      <c r="W205" s="52"/>
      <c r="X205" s="52"/>
      <c r="Y205" s="52"/>
      <c r="Z205" s="51"/>
      <c r="AA205" s="76"/>
      <c r="AB205" s="76"/>
      <c r="AC205" s="77"/>
      <c r="AD205" s="83" t="s">
        <v>2029</v>
      </c>
      <c r="AE205" s="91" t="s">
        <v>2293</v>
      </c>
      <c r="AF205" s="83">
        <v>141</v>
      </c>
      <c r="AG205" s="83">
        <v>59</v>
      </c>
      <c r="AH205" s="83">
        <v>800</v>
      </c>
      <c r="AI205" s="83">
        <v>1396</v>
      </c>
      <c r="AJ205" s="83"/>
      <c r="AK205" s="83" t="s">
        <v>2558</v>
      </c>
      <c r="AL205" s="83" t="s">
        <v>2763</v>
      </c>
      <c r="AM205" s="88" t="str">
        <f>HYPERLINK("https://t.co/NC3NtAclmz")</f>
        <v>https://t.co/NC3NtAclmz</v>
      </c>
      <c r="AN205" s="83"/>
      <c r="AO205" s="85">
        <v>40608.957777777781</v>
      </c>
      <c r="AP205" s="88" t="str">
        <f>HYPERLINK("https://pbs.twimg.com/profile_banners/261896120/1558533226")</f>
        <v>https://pbs.twimg.com/profile_banners/261896120/1558533226</v>
      </c>
      <c r="AQ205" s="83" t="b">
        <v>0</v>
      </c>
      <c r="AR205" s="83" t="b">
        <v>0</v>
      </c>
      <c r="AS205" s="83" t="b">
        <v>0</v>
      </c>
      <c r="AT205" s="83"/>
      <c r="AU205" s="83">
        <v>2</v>
      </c>
      <c r="AV205" s="88" t="str">
        <f>HYPERLINK("http://abs.twimg.com/images/themes/theme1/bg.png")</f>
        <v>http://abs.twimg.com/images/themes/theme1/bg.png</v>
      </c>
      <c r="AW205" s="83" t="b">
        <v>0</v>
      </c>
      <c r="AX205" s="83" t="s">
        <v>2807</v>
      </c>
      <c r="AY205" s="88" t="str">
        <f>HYPERLINK("https://twitter.com/asperminette")</f>
        <v>https://twitter.com/asperminette</v>
      </c>
      <c r="AZ205" s="83" t="s">
        <v>66</v>
      </c>
      <c r="BA205" s="2"/>
      <c r="BB205" s="3"/>
      <c r="BC205" s="3"/>
      <c r="BD205" s="3"/>
      <c r="BE205" s="3"/>
    </row>
    <row r="206" spans="1:57" x14ac:dyDescent="0.2">
      <c r="A206" s="69" t="s">
        <v>391</v>
      </c>
      <c r="B206" s="70"/>
      <c r="C206" s="70"/>
      <c r="D206" s="71"/>
      <c r="E206" s="73"/>
      <c r="F206" s="109" t="str">
        <f>HYPERLINK("http://pbs.twimg.com/profile_images/962594524122906624/Ako2prtp_normal.jpg")</f>
        <v>http://pbs.twimg.com/profile_images/962594524122906624/Ako2prtp_normal.jpg</v>
      </c>
      <c r="G206" s="70"/>
      <c r="H206" s="74"/>
      <c r="I206" s="75"/>
      <c r="J206" s="75"/>
      <c r="K206" s="74" t="s">
        <v>3010</v>
      </c>
      <c r="L206" s="78"/>
      <c r="M206" s="79"/>
      <c r="N206" s="79"/>
      <c r="O206" s="80"/>
      <c r="P206" s="81"/>
      <c r="Q206" s="81"/>
      <c r="R206" s="93"/>
      <c r="S206" s="93"/>
      <c r="T206" s="93"/>
      <c r="U206" s="93"/>
      <c r="V206" s="52"/>
      <c r="W206" s="52"/>
      <c r="X206" s="52"/>
      <c r="Y206" s="52"/>
      <c r="Z206" s="51"/>
      <c r="AA206" s="76"/>
      <c r="AB206" s="76"/>
      <c r="AC206" s="77"/>
      <c r="AD206" s="83" t="s">
        <v>2030</v>
      </c>
      <c r="AE206" s="91" t="s">
        <v>2294</v>
      </c>
      <c r="AF206" s="83">
        <v>1316</v>
      </c>
      <c r="AG206" s="83">
        <v>1296</v>
      </c>
      <c r="AH206" s="83">
        <v>4857</v>
      </c>
      <c r="AI206" s="83">
        <v>5830</v>
      </c>
      <c r="AJ206" s="83"/>
      <c r="AK206" s="83" t="s">
        <v>2559</v>
      </c>
      <c r="AL206" s="83"/>
      <c r="AM206" s="83"/>
      <c r="AN206" s="83"/>
      <c r="AO206" s="85">
        <v>40455.94730324074</v>
      </c>
      <c r="AP206" s="88" t="str">
        <f>HYPERLINK("https://pbs.twimg.com/profile_banners/198663647/1588345993")</f>
        <v>https://pbs.twimg.com/profile_banners/198663647/1588345993</v>
      </c>
      <c r="AQ206" s="83" t="b">
        <v>0</v>
      </c>
      <c r="AR206" s="83" t="b">
        <v>0</v>
      </c>
      <c r="AS206" s="83" t="b">
        <v>0</v>
      </c>
      <c r="AT206" s="83"/>
      <c r="AU206" s="83">
        <v>2</v>
      </c>
      <c r="AV206" s="88" t="str">
        <f>HYPERLINK("http://abs.twimg.com/images/themes/theme14/bg.gif")</f>
        <v>http://abs.twimg.com/images/themes/theme14/bg.gif</v>
      </c>
      <c r="AW206" s="83" t="b">
        <v>0</v>
      </c>
      <c r="AX206" s="83" t="s">
        <v>2807</v>
      </c>
      <c r="AY206" s="88" t="str">
        <f>HYPERLINK("https://twitter.com/ninjaawaffles")</f>
        <v>https://twitter.com/ninjaawaffles</v>
      </c>
      <c r="AZ206" s="83" t="s">
        <v>66</v>
      </c>
      <c r="BA206" s="2"/>
      <c r="BB206" s="3"/>
      <c r="BC206" s="3"/>
      <c r="BD206" s="3"/>
      <c r="BE206" s="3"/>
    </row>
    <row r="207" spans="1:57" x14ac:dyDescent="0.2">
      <c r="A207" s="69" t="s">
        <v>392</v>
      </c>
      <c r="B207" s="70"/>
      <c r="C207" s="70"/>
      <c r="D207" s="71"/>
      <c r="E207" s="73"/>
      <c r="F207" s="109" t="str">
        <f>HYPERLINK("http://pbs.twimg.com/profile_images/696955123822538756/E7JuTb7y_normal.jpg")</f>
        <v>http://pbs.twimg.com/profile_images/696955123822538756/E7JuTb7y_normal.jpg</v>
      </c>
      <c r="G207" s="70"/>
      <c r="H207" s="74"/>
      <c r="I207" s="75"/>
      <c r="J207" s="75"/>
      <c r="K207" s="74" t="s">
        <v>3011</v>
      </c>
      <c r="L207" s="78"/>
      <c r="M207" s="79"/>
      <c r="N207" s="79"/>
      <c r="O207" s="80"/>
      <c r="P207" s="81"/>
      <c r="Q207" s="81"/>
      <c r="R207" s="93"/>
      <c r="S207" s="93"/>
      <c r="T207" s="93"/>
      <c r="U207" s="93"/>
      <c r="V207" s="52"/>
      <c r="W207" s="52"/>
      <c r="X207" s="52"/>
      <c r="Y207" s="52"/>
      <c r="Z207" s="51"/>
      <c r="AA207" s="76"/>
      <c r="AB207" s="76"/>
      <c r="AC207" s="77"/>
      <c r="AD207" s="83" t="s">
        <v>2031</v>
      </c>
      <c r="AE207" s="91" t="s">
        <v>2295</v>
      </c>
      <c r="AF207" s="83">
        <v>659</v>
      </c>
      <c r="AG207" s="83">
        <v>15043</v>
      </c>
      <c r="AH207" s="83">
        <v>48566</v>
      </c>
      <c r="AI207" s="83">
        <v>167204</v>
      </c>
      <c r="AJ207" s="83"/>
      <c r="AK207" s="83" t="s">
        <v>2560</v>
      </c>
      <c r="AL207" s="83" t="s">
        <v>2764</v>
      </c>
      <c r="AM207" s="88" t="str">
        <f>HYPERLINK("https://t.co/PswGcxCwvb")</f>
        <v>https://t.co/PswGcxCwvb</v>
      </c>
      <c r="AN207" s="83"/>
      <c r="AO207" s="85">
        <v>40970.416562500002</v>
      </c>
      <c r="AP207" s="88" t="str">
        <f>HYPERLINK("https://pbs.twimg.com/profile_banners/511686599/1497742731")</f>
        <v>https://pbs.twimg.com/profile_banners/511686599/1497742731</v>
      </c>
      <c r="AQ207" s="83" t="b">
        <v>0</v>
      </c>
      <c r="AR207" s="83" t="b">
        <v>0</v>
      </c>
      <c r="AS207" s="83" t="b">
        <v>0</v>
      </c>
      <c r="AT207" s="83"/>
      <c r="AU207" s="83">
        <v>67</v>
      </c>
      <c r="AV207" s="88" t="str">
        <f t="shared" ref="AV207:AV212" si="1">HYPERLINK("http://abs.twimg.com/images/themes/theme1/bg.png")</f>
        <v>http://abs.twimg.com/images/themes/theme1/bg.png</v>
      </c>
      <c r="AW207" s="83" t="b">
        <v>0</v>
      </c>
      <c r="AX207" s="83" t="s">
        <v>2807</v>
      </c>
      <c r="AY207" s="88" t="str">
        <f>HYPERLINK("https://twitter.com/paulthemartian")</f>
        <v>https://twitter.com/paulthemartian</v>
      </c>
      <c r="AZ207" s="83" t="s">
        <v>66</v>
      </c>
      <c r="BA207" s="2"/>
      <c r="BB207" s="3"/>
      <c r="BC207" s="3"/>
      <c r="BD207" s="3"/>
      <c r="BE207" s="3"/>
    </row>
    <row r="208" spans="1:57" x14ac:dyDescent="0.2">
      <c r="A208" s="69" t="s">
        <v>393</v>
      </c>
      <c r="B208" s="70"/>
      <c r="C208" s="70"/>
      <c r="D208" s="71"/>
      <c r="E208" s="73"/>
      <c r="F208" s="109" t="str">
        <f>HYPERLINK("http://pbs.twimg.com/profile_images/1267942354624950272/9-2lqaQ7_normal.jpg")</f>
        <v>http://pbs.twimg.com/profile_images/1267942354624950272/9-2lqaQ7_normal.jpg</v>
      </c>
      <c r="G208" s="70"/>
      <c r="H208" s="74"/>
      <c r="I208" s="75"/>
      <c r="J208" s="75"/>
      <c r="K208" s="74" t="s">
        <v>3012</v>
      </c>
      <c r="L208" s="78"/>
      <c r="M208" s="79"/>
      <c r="N208" s="79"/>
      <c r="O208" s="80"/>
      <c r="P208" s="81"/>
      <c r="Q208" s="81"/>
      <c r="R208" s="93"/>
      <c r="S208" s="93"/>
      <c r="T208" s="93"/>
      <c r="U208" s="93"/>
      <c r="V208" s="52"/>
      <c r="W208" s="52"/>
      <c r="X208" s="52"/>
      <c r="Y208" s="52"/>
      <c r="Z208" s="51"/>
      <c r="AA208" s="76"/>
      <c r="AB208" s="76"/>
      <c r="AC208" s="77"/>
      <c r="AD208" s="83" t="s">
        <v>2032</v>
      </c>
      <c r="AE208" s="91" t="s">
        <v>2296</v>
      </c>
      <c r="AF208" s="83">
        <v>1119</v>
      </c>
      <c r="AG208" s="83">
        <v>1812</v>
      </c>
      <c r="AH208" s="83">
        <v>44391</v>
      </c>
      <c r="AI208" s="83">
        <v>124753</v>
      </c>
      <c r="AJ208" s="83"/>
      <c r="AK208" s="83" t="s">
        <v>2561</v>
      </c>
      <c r="AL208" s="83" t="s">
        <v>2765</v>
      </c>
      <c r="AM208" s="83"/>
      <c r="AN208" s="83"/>
      <c r="AO208" s="85">
        <v>41912.155023148145</v>
      </c>
      <c r="AP208" s="88" t="str">
        <f>HYPERLINK("https://pbs.twimg.com/profile_banners/2793459351/1412094304")</f>
        <v>https://pbs.twimg.com/profile_banners/2793459351/1412094304</v>
      </c>
      <c r="AQ208" s="83" t="b">
        <v>0</v>
      </c>
      <c r="AR208" s="83" t="b">
        <v>0</v>
      </c>
      <c r="AS208" s="83" t="b">
        <v>0</v>
      </c>
      <c r="AT208" s="83"/>
      <c r="AU208" s="83">
        <v>28</v>
      </c>
      <c r="AV208" s="88" t="str">
        <f t="shared" si="1"/>
        <v>http://abs.twimg.com/images/themes/theme1/bg.png</v>
      </c>
      <c r="AW208" s="83" t="b">
        <v>0</v>
      </c>
      <c r="AX208" s="83" t="s">
        <v>2807</v>
      </c>
      <c r="AY208" s="88" t="str">
        <f>HYPERLINK("https://twitter.com/stannorred")</f>
        <v>https://twitter.com/stannorred</v>
      </c>
      <c r="AZ208" s="83" t="s">
        <v>66</v>
      </c>
      <c r="BA208" s="2"/>
      <c r="BB208" s="3"/>
      <c r="BC208" s="3"/>
      <c r="BD208" s="3"/>
      <c r="BE208" s="3"/>
    </row>
    <row r="209" spans="1:57" x14ac:dyDescent="0.2">
      <c r="A209" s="69" t="s">
        <v>394</v>
      </c>
      <c r="B209" s="70"/>
      <c r="C209" s="70"/>
      <c r="D209" s="71"/>
      <c r="E209" s="73"/>
      <c r="F209" s="109" t="str">
        <f>HYPERLINK("http://pbs.twimg.com/profile_images/991666357388406784/qu4jgfQn_normal.jpg")</f>
        <v>http://pbs.twimg.com/profile_images/991666357388406784/qu4jgfQn_normal.jpg</v>
      </c>
      <c r="G209" s="70"/>
      <c r="H209" s="74"/>
      <c r="I209" s="75"/>
      <c r="J209" s="75"/>
      <c r="K209" s="74" t="s">
        <v>3013</v>
      </c>
      <c r="L209" s="78"/>
      <c r="M209" s="79"/>
      <c r="N209" s="79"/>
      <c r="O209" s="80"/>
      <c r="P209" s="81"/>
      <c r="Q209" s="81"/>
      <c r="R209" s="93"/>
      <c r="S209" s="93"/>
      <c r="T209" s="93"/>
      <c r="U209" s="93"/>
      <c r="V209" s="52"/>
      <c r="W209" s="52"/>
      <c r="X209" s="52"/>
      <c r="Y209" s="52"/>
      <c r="Z209" s="51"/>
      <c r="AA209" s="76"/>
      <c r="AB209" s="76"/>
      <c r="AC209" s="77"/>
      <c r="AD209" s="83" t="s">
        <v>2033</v>
      </c>
      <c r="AE209" s="91" t="s">
        <v>2297</v>
      </c>
      <c r="AF209" s="83">
        <v>2742</v>
      </c>
      <c r="AG209" s="83">
        <v>901</v>
      </c>
      <c r="AH209" s="83">
        <v>313115</v>
      </c>
      <c r="AI209" s="83">
        <v>12191</v>
      </c>
      <c r="AJ209" s="83"/>
      <c r="AK209" s="83"/>
      <c r="AL209" s="83"/>
      <c r="AM209" s="83"/>
      <c r="AN209" s="83"/>
      <c r="AO209" s="85">
        <v>42033.899837962963</v>
      </c>
      <c r="AP209" s="88" t="str">
        <f>HYPERLINK("https://pbs.twimg.com/profile_banners/3002457954/1452947945")</f>
        <v>https://pbs.twimg.com/profile_banners/3002457954/1452947945</v>
      </c>
      <c r="AQ209" s="83" t="b">
        <v>1</v>
      </c>
      <c r="AR209" s="83" t="b">
        <v>0</v>
      </c>
      <c r="AS209" s="83" t="b">
        <v>1</v>
      </c>
      <c r="AT209" s="83"/>
      <c r="AU209" s="83">
        <v>11</v>
      </c>
      <c r="AV209" s="88" t="str">
        <f t="shared" si="1"/>
        <v>http://abs.twimg.com/images/themes/theme1/bg.png</v>
      </c>
      <c r="AW209" s="83" t="b">
        <v>0</v>
      </c>
      <c r="AX209" s="83" t="s">
        <v>2807</v>
      </c>
      <c r="AY209" s="88" t="str">
        <f>HYPERLINK("https://twitter.com/ghengiskhan88")</f>
        <v>https://twitter.com/ghengiskhan88</v>
      </c>
      <c r="AZ209" s="83" t="s">
        <v>66</v>
      </c>
      <c r="BA209" s="2"/>
      <c r="BB209" s="3"/>
      <c r="BC209" s="3"/>
      <c r="BD209" s="3"/>
      <c r="BE209" s="3"/>
    </row>
    <row r="210" spans="1:57" x14ac:dyDescent="0.2">
      <c r="A210" s="69" t="s">
        <v>395</v>
      </c>
      <c r="B210" s="70"/>
      <c r="C210" s="70"/>
      <c r="D210" s="71"/>
      <c r="E210" s="73"/>
      <c r="F210" s="109" t="str">
        <f>HYPERLINK("http://pbs.twimg.com/profile_images/1717087062/baaaa_we_re_tired_of_your_stupid_conspiracy_stories_normal.jpg")</f>
        <v>http://pbs.twimg.com/profile_images/1717087062/baaaa_we_re_tired_of_your_stupid_conspiracy_stories_normal.jpg</v>
      </c>
      <c r="G210" s="70"/>
      <c r="H210" s="74"/>
      <c r="I210" s="75"/>
      <c r="J210" s="75"/>
      <c r="K210" s="74" t="s">
        <v>3014</v>
      </c>
      <c r="L210" s="78"/>
      <c r="M210" s="79"/>
      <c r="N210" s="79"/>
      <c r="O210" s="80"/>
      <c r="P210" s="81"/>
      <c r="Q210" s="81"/>
      <c r="R210" s="93"/>
      <c r="S210" s="93"/>
      <c r="T210" s="93"/>
      <c r="U210" s="93"/>
      <c r="V210" s="52"/>
      <c r="W210" s="52"/>
      <c r="X210" s="52"/>
      <c r="Y210" s="52"/>
      <c r="Z210" s="51"/>
      <c r="AA210" s="76"/>
      <c r="AB210" s="76"/>
      <c r="AC210" s="77"/>
      <c r="AD210" s="83" t="s">
        <v>2034</v>
      </c>
      <c r="AE210" s="91" t="s">
        <v>2298</v>
      </c>
      <c r="AF210" s="83">
        <v>524</v>
      </c>
      <c r="AG210" s="83">
        <v>164</v>
      </c>
      <c r="AH210" s="83">
        <v>5807</v>
      </c>
      <c r="AI210" s="83">
        <v>3610</v>
      </c>
      <c r="AJ210" s="83"/>
      <c r="AK210" s="83" t="s">
        <v>2562</v>
      </c>
      <c r="AL210" s="83" t="s">
        <v>2766</v>
      </c>
      <c r="AM210" s="88" t="str">
        <f>HYPERLINK("https://t.co/MXj2qcPh68")</f>
        <v>https://t.co/MXj2qcPh68</v>
      </c>
      <c r="AN210" s="83"/>
      <c r="AO210" s="85">
        <v>40493.621782407405</v>
      </c>
      <c r="AP210" s="83"/>
      <c r="AQ210" s="83" t="b">
        <v>1</v>
      </c>
      <c r="AR210" s="83" t="b">
        <v>0</v>
      </c>
      <c r="AS210" s="83" t="b">
        <v>0</v>
      </c>
      <c r="AT210" s="83"/>
      <c r="AU210" s="83">
        <v>0</v>
      </c>
      <c r="AV210" s="88" t="str">
        <f t="shared" si="1"/>
        <v>http://abs.twimg.com/images/themes/theme1/bg.png</v>
      </c>
      <c r="AW210" s="83" t="b">
        <v>0</v>
      </c>
      <c r="AX210" s="83" t="s">
        <v>2807</v>
      </c>
      <c r="AY210" s="88" t="str">
        <f>HYPERLINK("https://twitter.com/libertyjusticeb")</f>
        <v>https://twitter.com/libertyjusticeb</v>
      </c>
      <c r="AZ210" s="83" t="s">
        <v>66</v>
      </c>
      <c r="BA210" s="2"/>
      <c r="BB210" s="3"/>
      <c r="BC210" s="3"/>
      <c r="BD210" s="3"/>
      <c r="BE210" s="3"/>
    </row>
    <row r="211" spans="1:57" x14ac:dyDescent="0.2">
      <c r="A211" s="69" t="s">
        <v>396</v>
      </c>
      <c r="B211" s="70"/>
      <c r="C211" s="70"/>
      <c r="D211" s="71"/>
      <c r="E211" s="73"/>
      <c r="F211" s="109" t="str">
        <f>HYPERLINK("http://pbs.twimg.com/profile_images/1281637436297224193/mCnRd8FV_normal.jpg")</f>
        <v>http://pbs.twimg.com/profile_images/1281637436297224193/mCnRd8FV_normal.jpg</v>
      </c>
      <c r="G211" s="70"/>
      <c r="H211" s="74"/>
      <c r="I211" s="75"/>
      <c r="J211" s="75"/>
      <c r="K211" s="74" t="s">
        <v>3015</v>
      </c>
      <c r="L211" s="78"/>
      <c r="M211" s="79"/>
      <c r="N211" s="79"/>
      <c r="O211" s="80"/>
      <c r="P211" s="81"/>
      <c r="Q211" s="81"/>
      <c r="R211" s="93"/>
      <c r="S211" s="93"/>
      <c r="T211" s="93"/>
      <c r="U211" s="93"/>
      <c r="V211" s="52"/>
      <c r="W211" s="52"/>
      <c r="X211" s="52"/>
      <c r="Y211" s="52"/>
      <c r="Z211" s="51"/>
      <c r="AA211" s="76"/>
      <c r="AB211" s="76"/>
      <c r="AC211" s="77"/>
      <c r="AD211" s="83" t="s">
        <v>2035</v>
      </c>
      <c r="AE211" s="91" t="s">
        <v>2299</v>
      </c>
      <c r="AF211" s="83">
        <v>1179</v>
      </c>
      <c r="AG211" s="83">
        <v>1183</v>
      </c>
      <c r="AH211" s="83">
        <v>16076</v>
      </c>
      <c r="AI211" s="83">
        <v>28713</v>
      </c>
      <c r="AJ211" s="83"/>
      <c r="AK211" s="83" t="s">
        <v>2563</v>
      </c>
      <c r="AL211" s="83" t="s">
        <v>2767</v>
      </c>
      <c r="AM211" s="83"/>
      <c r="AN211" s="83"/>
      <c r="AO211" s="85">
        <v>40309.821597222224</v>
      </c>
      <c r="AP211" s="88" t="str">
        <f>HYPERLINK("https://pbs.twimg.com/profile_banners/142792314/1590569905")</f>
        <v>https://pbs.twimg.com/profile_banners/142792314/1590569905</v>
      </c>
      <c r="AQ211" s="83" t="b">
        <v>1</v>
      </c>
      <c r="AR211" s="83" t="b">
        <v>0</v>
      </c>
      <c r="AS211" s="83" t="b">
        <v>0</v>
      </c>
      <c r="AT211" s="83"/>
      <c r="AU211" s="83">
        <v>2</v>
      </c>
      <c r="AV211" s="88" t="str">
        <f t="shared" si="1"/>
        <v>http://abs.twimg.com/images/themes/theme1/bg.png</v>
      </c>
      <c r="AW211" s="83" t="b">
        <v>0</v>
      </c>
      <c r="AX211" s="83" t="s">
        <v>2807</v>
      </c>
      <c r="AY211" s="88" t="str">
        <f>HYPERLINK("https://twitter.com/nathankg")</f>
        <v>https://twitter.com/nathankg</v>
      </c>
      <c r="AZ211" s="83" t="s">
        <v>66</v>
      </c>
      <c r="BA211" s="2"/>
      <c r="BB211" s="3"/>
      <c r="BC211" s="3"/>
      <c r="BD211" s="3"/>
      <c r="BE211" s="3"/>
    </row>
    <row r="212" spans="1:57" x14ac:dyDescent="0.2">
      <c r="A212" s="69" t="s">
        <v>397</v>
      </c>
      <c r="B212" s="70"/>
      <c r="C212" s="70"/>
      <c r="D212" s="71"/>
      <c r="E212" s="73"/>
      <c r="F212" s="109" t="str">
        <f>HYPERLINK("http://pbs.twimg.com/profile_images/515563856811548672/q16rGuVA_normal.jpeg")</f>
        <v>http://pbs.twimg.com/profile_images/515563856811548672/q16rGuVA_normal.jpeg</v>
      </c>
      <c r="G212" s="70"/>
      <c r="H212" s="74"/>
      <c r="I212" s="75"/>
      <c r="J212" s="75"/>
      <c r="K212" s="74" t="s">
        <v>3016</v>
      </c>
      <c r="L212" s="78"/>
      <c r="M212" s="79"/>
      <c r="N212" s="79"/>
      <c r="O212" s="80"/>
      <c r="P212" s="81"/>
      <c r="Q212" s="81"/>
      <c r="R212" s="93"/>
      <c r="S212" s="93"/>
      <c r="T212" s="93"/>
      <c r="U212" s="93"/>
      <c r="V212" s="52"/>
      <c r="W212" s="52"/>
      <c r="X212" s="52"/>
      <c r="Y212" s="52"/>
      <c r="Z212" s="51"/>
      <c r="AA212" s="76"/>
      <c r="AB212" s="76"/>
      <c r="AC212" s="77"/>
      <c r="AD212" s="83" t="s">
        <v>2036</v>
      </c>
      <c r="AE212" s="91" t="s">
        <v>2300</v>
      </c>
      <c r="AF212" s="83">
        <v>458</v>
      </c>
      <c r="AG212" s="83">
        <v>582</v>
      </c>
      <c r="AH212" s="83">
        <v>6162</v>
      </c>
      <c r="AI212" s="83">
        <v>7927</v>
      </c>
      <c r="AJ212" s="83"/>
      <c r="AK212" s="83"/>
      <c r="AL212" s="83" t="s">
        <v>2768</v>
      </c>
      <c r="AM212" s="88" t="str">
        <f>HYPERLINK("http://t.co/FjIRLpYYi3")</f>
        <v>http://t.co/FjIRLpYYi3</v>
      </c>
      <c r="AN212" s="83"/>
      <c r="AO212" s="85">
        <v>40704.081666666665</v>
      </c>
      <c r="AP212" s="83"/>
      <c r="AQ212" s="83" t="b">
        <v>1</v>
      </c>
      <c r="AR212" s="83" t="b">
        <v>0</v>
      </c>
      <c r="AS212" s="83" t="b">
        <v>0</v>
      </c>
      <c r="AT212" s="83"/>
      <c r="AU212" s="83">
        <v>5</v>
      </c>
      <c r="AV212" s="88" t="str">
        <f t="shared" si="1"/>
        <v>http://abs.twimg.com/images/themes/theme1/bg.png</v>
      </c>
      <c r="AW212" s="83" t="b">
        <v>0</v>
      </c>
      <c r="AX212" s="83" t="s">
        <v>2807</v>
      </c>
      <c r="AY212" s="88" t="str">
        <f>HYPERLINK("https://twitter.com/lillmcgil")</f>
        <v>https://twitter.com/lillmcgil</v>
      </c>
      <c r="AZ212" s="83" t="s">
        <v>66</v>
      </c>
      <c r="BA212" s="2"/>
      <c r="BB212" s="3"/>
      <c r="BC212" s="3"/>
      <c r="BD212" s="3"/>
      <c r="BE212" s="3"/>
    </row>
    <row r="213" spans="1:57" x14ac:dyDescent="0.2">
      <c r="A213" s="69" t="s">
        <v>398</v>
      </c>
      <c r="B213" s="70"/>
      <c r="C213" s="70"/>
      <c r="D213" s="71"/>
      <c r="E213" s="73"/>
      <c r="F213" s="109" t="str">
        <f>HYPERLINK("http://pbs.twimg.com/profile_images/1245596537708630017/rQYBDJTW_normal.jpg")</f>
        <v>http://pbs.twimg.com/profile_images/1245596537708630017/rQYBDJTW_normal.jpg</v>
      </c>
      <c r="G213" s="70"/>
      <c r="H213" s="74"/>
      <c r="I213" s="75"/>
      <c r="J213" s="75"/>
      <c r="K213" s="74" t="s">
        <v>3017</v>
      </c>
      <c r="L213" s="78"/>
      <c r="M213" s="79"/>
      <c r="N213" s="79"/>
      <c r="O213" s="80"/>
      <c r="P213" s="81"/>
      <c r="Q213" s="81"/>
      <c r="R213" s="93"/>
      <c r="S213" s="93"/>
      <c r="T213" s="93"/>
      <c r="U213" s="93"/>
      <c r="V213" s="52"/>
      <c r="W213" s="52"/>
      <c r="X213" s="52"/>
      <c r="Y213" s="52"/>
      <c r="Z213" s="51"/>
      <c r="AA213" s="76"/>
      <c r="AB213" s="76"/>
      <c r="AC213" s="77"/>
      <c r="AD213" s="83" t="s">
        <v>2037</v>
      </c>
      <c r="AE213" s="91" t="s">
        <v>2301</v>
      </c>
      <c r="AF213" s="83">
        <v>709</v>
      </c>
      <c r="AG213" s="83">
        <v>592</v>
      </c>
      <c r="AH213" s="83">
        <v>5600</v>
      </c>
      <c r="AI213" s="83">
        <v>11585</v>
      </c>
      <c r="AJ213" s="83"/>
      <c r="AK213" s="83" t="s">
        <v>2564</v>
      </c>
      <c r="AL213" s="83"/>
      <c r="AM213" s="83"/>
      <c r="AN213" s="83"/>
      <c r="AO213" s="85">
        <v>43723.584374999999</v>
      </c>
      <c r="AP213" s="88" t="str">
        <f>HYPERLINK("https://pbs.twimg.com/profile_banners/1173235275708948481/1590160308")</f>
        <v>https://pbs.twimg.com/profile_banners/1173235275708948481/1590160308</v>
      </c>
      <c r="AQ213" s="83" t="b">
        <v>1</v>
      </c>
      <c r="AR213" s="83" t="b">
        <v>0</v>
      </c>
      <c r="AS213" s="83" t="b">
        <v>0</v>
      </c>
      <c r="AT213" s="83"/>
      <c r="AU213" s="83">
        <v>1</v>
      </c>
      <c r="AV213" s="83"/>
      <c r="AW213" s="83" t="b">
        <v>0</v>
      </c>
      <c r="AX213" s="83" t="s">
        <v>2807</v>
      </c>
      <c r="AY213" s="88" t="str">
        <f>HYPERLINK("https://twitter.com/anti_ball")</f>
        <v>https://twitter.com/anti_ball</v>
      </c>
      <c r="AZ213" s="83" t="s">
        <v>66</v>
      </c>
      <c r="BA213" s="2"/>
      <c r="BB213" s="3"/>
      <c r="BC213" s="3"/>
      <c r="BD213" s="3"/>
      <c r="BE213" s="3"/>
    </row>
    <row r="214" spans="1:57" x14ac:dyDescent="0.2">
      <c r="A214" s="69" t="s">
        <v>399</v>
      </c>
      <c r="B214" s="70"/>
      <c r="C214" s="70"/>
      <c r="D214" s="71"/>
      <c r="E214" s="73"/>
      <c r="F214" s="109" t="str">
        <f>HYPERLINK("http://pbs.twimg.com/profile_images/1272775854666514438/tl3r18LQ_normal.jpg")</f>
        <v>http://pbs.twimg.com/profile_images/1272775854666514438/tl3r18LQ_normal.jpg</v>
      </c>
      <c r="G214" s="70"/>
      <c r="H214" s="74"/>
      <c r="I214" s="75"/>
      <c r="J214" s="75"/>
      <c r="K214" s="74" t="s">
        <v>3018</v>
      </c>
      <c r="L214" s="78"/>
      <c r="M214" s="79"/>
      <c r="N214" s="79"/>
      <c r="O214" s="80"/>
      <c r="P214" s="81"/>
      <c r="Q214" s="81"/>
      <c r="R214" s="93"/>
      <c r="S214" s="93"/>
      <c r="T214" s="93"/>
      <c r="U214" s="93"/>
      <c r="V214" s="52"/>
      <c r="W214" s="52"/>
      <c r="X214" s="52"/>
      <c r="Y214" s="52"/>
      <c r="Z214" s="51"/>
      <c r="AA214" s="76"/>
      <c r="AB214" s="76"/>
      <c r="AC214" s="77"/>
      <c r="AD214" s="83" t="s">
        <v>2038</v>
      </c>
      <c r="AE214" s="91" t="s">
        <v>2302</v>
      </c>
      <c r="AF214" s="83">
        <v>2541</v>
      </c>
      <c r="AG214" s="83">
        <v>2488</v>
      </c>
      <c r="AH214" s="83">
        <v>384</v>
      </c>
      <c r="AI214" s="83">
        <v>659</v>
      </c>
      <c r="AJ214" s="83"/>
      <c r="AK214" s="83" t="s">
        <v>2565</v>
      </c>
      <c r="AL214" s="83"/>
      <c r="AM214" s="83"/>
      <c r="AN214" s="83"/>
      <c r="AO214" s="85">
        <v>43785.734351851854</v>
      </c>
      <c r="AP214" s="88" t="str">
        <f>HYPERLINK("https://pbs.twimg.com/profile_banners/1195757740901195777/1589468962")</f>
        <v>https://pbs.twimg.com/profile_banners/1195757740901195777/1589468962</v>
      </c>
      <c r="AQ214" s="83" t="b">
        <v>1</v>
      </c>
      <c r="AR214" s="83" t="b">
        <v>0</v>
      </c>
      <c r="AS214" s="83" t="b">
        <v>0</v>
      </c>
      <c r="AT214" s="83"/>
      <c r="AU214" s="83">
        <v>1</v>
      </c>
      <c r="AV214" s="83"/>
      <c r="AW214" s="83" t="b">
        <v>0</v>
      </c>
      <c r="AX214" s="83" t="s">
        <v>2807</v>
      </c>
      <c r="AY214" s="88" t="str">
        <f>HYPERLINK("https://twitter.com/theadoredeplore")</f>
        <v>https://twitter.com/theadoredeplore</v>
      </c>
      <c r="AZ214" s="83" t="s">
        <v>66</v>
      </c>
      <c r="BA214" s="2"/>
      <c r="BB214" s="3"/>
      <c r="BC214" s="3"/>
      <c r="BD214" s="3"/>
      <c r="BE214" s="3"/>
    </row>
    <row r="215" spans="1:57" x14ac:dyDescent="0.2">
      <c r="A215" s="69" t="s">
        <v>401</v>
      </c>
      <c r="B215" s="70"/>
      <c r="C215" s="70"/>
      <c r="D215" s="71"/>
      <c r="E215" s="73"/>
      <c r="F215" s="109" t="str">
        <f>HYPERLINK("http://pbs.twimg.com/profile_images/1281670315454509056/MeS--c2h_normal.jpg")</f>
        <v>http://pbs.twimg.com/profile_images/1281670315454509056/MeS--c2h_normal.jpg</v>
      </c>
      <c r="G215" s="70"/>
      <c r="H215" s="74"/>
      <c r="I215" s="75"/>
      <c r="J215" s="75"/>
      <c r="K215" s="74" t="s">
        <v>3019</v>
      </c>
      <c r="L215" s="78"/>
      <c r="M215" s="79"/>
      <c r="N215" s="79"/>
      <c r="O215" s="80"/>
      <c r="P215" s="81"/>
      <c r="Q215" s="81"/>
      <c r="R215" s="93"/>
      <c r="S215" s="93"/>
      <c r="T215" s="93"/>
      <c r="U215" s="93"/>
      <c r="V215" s="52"/>
      <c r="W215" s="52"/>
      <c r="X215" s="52"/>
      <c r="Y215" s="52"/>
      <c r="Z215" s="51"/>
      <c r="AA215" s="76"/>
      <c r="AB215" s="76"/>
      <c r="AC215" s="77"/>
      <c r="AD215" s="83" t="s">
        <v>2039</v>
      </c>
      <c r="AE215" s="91" t="s">
        <v>2303</v>
      </c>
      <c r="AF215" s="83">
        <v>728</v>
      </c>
      <c r="AG215" s="83">
        <v>629</v>
      </c>
      <c r="AH215" s="83">
        <v>460</v>
      </c>
      <c r="AI215" s="83">
        <v>349</v>
      </c>
      <c r="AJ215" s="83"/>
      <c r="AK215" s="83" t="s">
        <v>2566</v>
      </c>
      <c r="AL215" s="83" t="s">
        <v>2769</v>
      </c>
      <c r="AM215" s="83"/>
      <c r="AN215" s="83"/>
      <c r="AO215" s="85">
        <v>42838.980381944442</v>
      </c>
      <c r="AP215" s="88" t="str">
        <f>HYPERLINK("https://pbs.twimg.com/profile_banners/852665640208826368/1594326953")</f>
        <v>https://pbs.twimg.com/profile_banners/852665640208826368/1594326953</v>
      </c>
      <c r="AQ215" s="83" t="b">
        <v>0</v>
      </c>
      <c r="AR215" s="83" t="b">
        <v>0</v>
      </c>
      <c r="AS215" s="83" t="b">
        <v>0</v>
      </c>
      <c r="AT215" s="83"/>
      <c r="AU215" s="83">
        <v>0</v>
      </c>
      <c r="AV215" s="88" t="str">
        <f>HYPERLINK("http://abs.twimg.com/images/themes/theme1/bg.png")</f>
        <v>http://abs.twimg.com/images/themes/theme1/bg.png</v>
      </c>
      <c r="AW215" s="83" t="b">
        <v>0</v>
      </c>
      <c r="AX215" s="83" t="s">
        <v>2807</v>
      </c>
      <c r="AY215" s="88" t="str">
        <f>HYPERLINK("https://twitter.com/warteambravo")</f>
        <v>https://twitter.com/warteambravo</v>
      </c>
      <c r="AZ215" s="83" t="s">
        <v>66</v>
      </c>
      <c r="BA215" s="2"/>
      <c r="BB215" s="3"/>
      <c r="BC215" s="3"/>
      <c r="BD215" s="3"/>
      <c r="BE215" s="3"/>
    </row>
    <row r="216" spans="1:57" x14ac:dyDescent="0.2">
      <c r="A216" s="69" t="s">
        <v>402</v>
      </c>
      <c r="B216" s="70"/>
      <c r="C216" s="70"/>
      <c r="D216" s="71"/>
      <c r="E216" s="73"/>
      <c r="F216" s="109" t="str">
        <f>HYPERLINK("http://pbs.twimg.com/profile_images/1264023045372608517/G5N9unQY_normal.jpg")</f>
        <v>http://pbs.twimg.com/profile_images/1264023045372608517/G5N9unQY_normal.jpg</v>
      </c>
      <c r="G216" s="70"/>
      <c r="H216" s="74"/>
      <c r="I216" s="75"/>
      <c r="J216" s="75"/>
      <c r="K216" s="74" t="s">
        <v>3020</v>
      </c>
      <c r="L216" s="78"/>
      <c r="M216" s="79"/>
      <c r="N216" s="79"/>
      <c r="O216" s="80"/>
      <c r="P216" s="81"/>
      <c r="Q216" s="81"/>
      <c r="R216" s="93"/>
      <c r="S216" s="93"/>
      <c r="T216" s="93"/>
      <c r="U216" s="93"/>
      <c r="V216" s="52"/>
      <c r="W216" s="52"/>
      <c r="X216" s="52"/>
      <c r="Y216" s="52"/>
      <c r="Z216" s="51"/>
      <c r="AA216" s="76"/>
      <c r="AB216" s="76"/>
      <c r="AC216" s="77"/>
      <c r="AD216" s="83" t="s">
        <v>2040</v>
      </c>
      <c r="AE216" s="91" t="s">
        <v>2304</v>
      </c>
      <c r="AF216" s="83">
        <v>2390</v>
      </c>
      <c r="AG216" s="83">
        <v>1555</v>
      </c>
      <c r="AH216" s="83">
        <v>1181</v>
      </c>
      <c r="AI216" s="83">
        <v>2877</v>
      </c>
      <c r="AJ216" s="83"/>
      <c r="AK216" s="83" t="s">
        <v>2567</v>
      </c>
      <c r="AL216" s="83"/>
      <c r="AM216" s="88" t="str">
        <f>HYPERLINK("https://t.co/rUuIVNd4jN")</f>
        <v>https://t.co/rUuIVNd4jN</v>
      </c>
      <c r="AN216" s="83"/>
      <c r="AO216" s="85">
        <v>43967.623136574075</v>
      </c>
      <c r="AP216" s="88" t="str">
        <f>HYPERLINK("https://pbs.twimg.com/profile_banners/1261672027615891457/1590492546")</f>
        <v>https://pbs.twimg.com/profile_banners/1261672027615891457/1590492546</v>
      </c>
      <c r="AQ216" s="83" t="b">
        <v>1</v>
      </c>
      <c r="AR216" s="83" t="b">
        <v>0</v>
      </c>
      <c r="AS216" s="83" t="b">
        <v>0</v>
      </c>
      <c r="AT216" s="83"/>
      <c r="AU216" s="83">
        <v>1</v>
      </c>
      <c r="AV216" s="83"/>
      <c r="AW216" s="83" t="b">
        <v>0</v>
      </c>
      <c r="AX216" s="83" t="s">
        <v>2807</v>
      </c>
      <c r="AY216" s="88" t="str">
        <f>HYPERLINK("https://twitter.com/hurrywakeupnow")</f>
        <v>https://twitter.com/hurrywakeupnow</v>
      </c>
      <c r="AZ216" s="83" t="s">
        <v>66</v>
      </c>
      <c r="BA216" s="2"/>
      <c r="BB216" s="3"/>
      <c r="BC216" s="3"/>
      <c r="BD216" s="3"/>
      <c r="BE216" s="3"/>
    </row>
    <row r="217" spans="1:57" x14ac:dyDescent="0.2">
      <c r="A217" s="69" t="s">
        <v>403</v>
      </c>
      <c r="B217" s="70"/>
      <c r="C217" s="70"/>
      <c r="D217" s="71"/>
      <c r="E217" s="73"/>
      <c r="F217" s="109" t="str">
        <f>HYPERLINK("http://pbs.twimg.com/profile_images/1237660299840204801/fSXHxexb_normal.jpg")</f>
        <v>http://pbs.twimg.com/profile_images/1237660299840204801/fSXHxexb_normal.jpg</v>
      </c>
      <c r="G217" s="70"/>
      <c r="H217" s="74"/>
      <c r="I217" s="75"/>
      <c r="J217" s="75"/>
      <c r="K217" s="74" t="s">
        <v>3021</v>
      </c>
      <c r="L217" s="78"/>
      <c r="M217" s="79"/>
      <c r="N217" s="79"/>
      <c r="O217" s="80"/>
      <c r="P217" s="81"/>
      <c r="Q217" s="81"/>
      <c r="R217" s="93"/>
      <c r="S217" s="93"/>
      <c r="T217" s="93"/>
      <c r="U217" s="93"/>
      <c r="V217" s="52"/>
      <c r="W217" s="52"/>
      <c r="X217" s="52"/>
      <c r="Y217" s="52"/>
      <c r="Z217" s="51"/>
      <c r="AA217" s="76"/>
      <c r="AB217" s="76"/>
      <c r="AC217" s="77"/>
      <c r="AD217" s="83" t="s">
        <v>2041</v>
      </c>
      <c r="AE217" s="91" t="s">
        <v>2305</v>
      </c>
      <c r="AF217" s="83">
        <v>2704</v>
      </c>
      <c r="AG217" s="83">
        <v>936</v>
      </c>
      <c r="AH217" s="83">
        <v>19617</v>
      </c>
      <c r="AI217" s="83">
        <v>47902</v>
      </c>
      <c r="AJ217" s="83"/>
      <c r="AK217" s="83" t="s">
        <v>2568</v>
      </c>
      <c r="AL217" s="83" t="s">
        <v>2770</v>
      </c>
      <c r="AM217" s="83"/>
      <c r="AN217" s="83"/>
      <c r="AO217" s="85">
        <v>39883.952037037037</v>
      </c>
      <c r="AP217" s="88" t="str">
        <f>HYPERLINK("https://pbs.twimg.com/profile_banners/23846946/1479172535")</f>
        <v>https://pbs.twimg.com/profile_banners/23846946/1479172535</v>
      </c>
      <c r="AQ217" s="83" t="b">
        <v>0</v>
      </c>
      <c r="AR217" s="83" t="b">
        <v>0</v>
      </c>
      <c r="AS217" s="83" t="b">
        <v>1</v>
      </c>
      <c r="AT217" s="83"/>
      <c r="AU217" s="83">
        <v>16</v>
      </c>
      <c r="AV217" s="88" t="str">
        <f>HYPERLINK("http://abs.twimg.com/images/themes/theme14/bg.gif")</f>
        <v>http://abs.twimg.com/images/themes/theme14/bg.gif</v>
      </c>
      <c r="AW217" s="83" t="b">
        <v>0</v>
      </c>
      <c r="AX217" s="83" t="s">
        <v>2807</v>
      </c>
      <c r="AY217" s="88" t="str">
        <f>HYPERLINK("https://twitter.com/candyace")</f>
        <v>https://twitter.com/candyace</v>
      </c>
      <c r="AZ217" s="83" t="s">
        <v>66</v>
      </c>
      <c r="BA217" s="2"/>
      <c r="BB217" s="3"/>
      <c r="BC217" s="3"/>
      <c r="BD217" s="3"/>
      <c r="BE217" s="3"/>
    </row>
    <row r="218" spans="1:57" x14ac:dyDescent="0.2">
      <c r="A218" s="69" t="s">
        <v>404</v>
      </c>
      <c r="B218" s="70"/>
      <c r="C218" s="70"/>
      <c r="D218" s="71"/>
      <c r="E218" s="73"/>
      <c r="F218" s="109" t="str">
        <f>HYPERLINK("http://pbs.twimg.com/profile_images/1254055911045332993/PIchj6yr_normal.jpg")</f>
        <v>http://pbs.twimg.com/profile_images/1254055911045332993/PIchj6yr_normal.jpg</v>
      </c>
      <c r="G218" s="70"/>
      <c r="H218" s="74"/>
      <c r="I218" s="75"/>
      <c r="J218" s="75"/>
      <c r="K218" s="74" t="s">
        <v>3022</v>
      </c>
      <c r="L218" s="78"/>
      <c r="M218" s="79"/>
      <c r="N218" s="79"/>
      <c r="O218" s="80"/>
      <c r="P218" s="81"/>
      <c r="Q218" s="81"/>
      <c r="R218" s="93"/>
      <c r="S218" s="93"/>
      <c r="T218" s="93"/>
      <c r="U218" s="93"/>
      <c r="V218" s="52"/>
      <c r="W218" s="52"/>
      <c r="X218" s="52"/>
      <c r="Y218" s="52"/>
      <c r="Z218" s="51"/>
      <c r="AA218" s="76"/>
      <c r="AB218" s="76"/>
      <c r="AC218" s="77"/>
      <c r="AD218" s="83" t="s">
        <v>2042</v>
      </c>
      <c r="AE218" s="91" t="s">
        <v>2306</v>
      </c>
      <c r="AF218" s="83">
        <v>0</v>
      </c>
      <c r="AG218" s="83">
        <v>9</v>
      </c>
      <c r="AH218" s="83">
        <v>59</v>
      </c>
      <c r="AI218" s="83">
        <v>0</v>
      </c>
      <c r="AJ218" s="83"/>
      <c r="AK218" s="83" t="s">
        <v>2569</v>
      </c>
      <c r="AL218" s="83"/>
      <c r="AM218" s="88" t="str">
        <f>HYPERLINK("https://t.co/r7F10ugrEs")</f>
        <v>https://t.co/r7F10ugrEs</v>
      </c>
      <c r="AN218" s="83"/>
      <c r="AO218" s="85">
        <v>43211.611562500002</v>
      </c>
      <c r="AP218" s="88" t="str">
        <f>HYPERLINK("https://pbs.twimg.com/profile_banners/987702661561634818/1563028797")</f>
        <v>https://pbs.twimg.com/profile_banners/987702661561634818/1563028797</v>
      </c>
      <c r="AQ218" s="83" t="b">
        <v>1</v>
      </c>
      <c r="AR218" s="83" t="b">
        <v>0</v>
      </c>
      <c r="AS218" s="83" t="b">
        <v>0</v>
      </c>
      <c r="AT218" s="83"/>
      <c r="AU218" s="83">
        <v>0</v>
      </c>
      <c r="AV218" s="83"/>
      <c r="AW218" s="83" t="b">
        <v>0</v>
      </c>
      <c r="AX218" s="83" t="s">
        <v>2807</v>
      </c>
      <c r="AY218" s="88" t="str">
        <f>HYPERLINK("https://twitter.com/revelationskool")</f>
        <v>https://twitter.com/revelationskool</v>
      </c>
      <c r="AZ218" s="83" t="s">
        <v>66</v>
      </c>
      <c r="BA218" s="2"/>
      <c r="BB218" s="3"/>
      <c r="BC218" s="3"/>
      <c r="BD218" s="3"/>
      <c r="BE218" s="3"/>
    </row>
    <row r="219" spans="1:57" x14ac:dyDescent="0.2">
      <c r="A219" s="69" t="s">
        <v>405</v>
      </c>
      <c r="B219" s="70"/>
      <c r="C219" s="70"/>
      <c r="D219" s="71"/>
      <c r="E219" s="73"/>
      <c r="F219" s="109" t="str">
        <f>HYPERLINK("http://pbs.twimg.com/profile_images/1253429257130270721/HzgaDbaa_normal.jpg")</f>
        <v>http://pbs.twimg.com/profile_images/1253429257130270721/HzgaDbaa_normal.jpg</v>
      </c>
      <c r="G219" s="70"/>
      <c r="H219" s="74"/>
      <c r="I219" s="75"/>
      <c r="J219" s="75"/>
      <c r="K219" s="74" t="s">
        <v>3023</v>
      </c>
      <c r="L219" s="78"/>
      <c r="M219" s="79"/>
      <c r="N219" s="79"/>
      <c r="O219" s="80"/>
      <c r="P219" s="81"/>
      <c r="Q219" s="81"/>
      <c r="R219" s="93"/>
      <c r="S219" s="93"/>
      <c r="T219" s="93"/>
      <c r="U219" s="93"/>
      <c r="V219" s="52"/>
      <c r="W219" s="52"/>
      <c r="X219" s="52"/>
      <c r="Y219" s="52"/>
      <c r="Z219" s="51"/>
      <c r="AA219" s="76"/>
      <c r="AB219" s="76"/>
      <c r="AC219" s="77"/>
      <c r="AD219" s="83" t="s">
        <v>2043</v>
      </c>
      <c r="AE219" s="91" t="s">
        <v>2307</v>
      </c>
      <c r="AF219" s="83">
        <v>1309</v>
      </c>
      <c r="AG219" s="83">
        <v>970</v>
      </c>
      <c r="AH219" s="83">
        <v>2373</v>
      </c>
      <c r="AI219" s="83">
        <v>9134</v>
      </c>
      <c r="AJ219" s="83"/>
      <c r="AK219" s="83" t="s">
        <v>2570</v>
      </c>
      <c r="AL219" s="83"/>
      <c r="AM219" s="88" t="str">
        <f>HYPERLINK("https://t.co/kZ8QC8brtl")</f>
        <v>https://t.co/kZ8QC8brtl</v>
      </c>
      <c r="AN219" s="83"/>
      <c r="AO219" s="85">
        <v>42607.782581018517</v>
      </c>
      <c r="AP219" s="88" t="str">
        <f>HYPERLINK("https://pbs.twimg.com/profile_banners/768882365070532610/1590528091")</f>
        <v>https://pbs.twimg.com/profile_banners/768882365070532610/1590528091</v>
      </c>
      <c r="AQ219" s="83" t="b">
        <v>1</v>
      </c>
      <c r="AR219" s="83" t="b">
        <v>0</v>
      </c>
      <c r="AS219" s="83" t="b">
        <v>0</v>
      </c>
      <c r="AT219" s="83"/>
      <c r="AU219" s="83">
        <v>3</v>
      </c>
      <c r="AV219" s="83"/>
      <c r="AW219" s="83" t="b">
        <v>0</v>
      </c>
      <c r="AX219" s="83" t="s">
        <v>2807</v>
      </c>
      <c r="AY219" s="88" t="str">
        <f>HYPERLINK("https://twitter.com/sire_salehan")</f>
        <v>https://twitter.com/sire_salehan</v>
      </c>
      <c r="AZ219" s="83" t="s">
        <v>66</v>
      </c>
      <c r="BA219" s="2"/>
      <c r="BB219" s="3"/>
      <c r="BC219" s="3"/>
      <c r="BD219" s="3"/>
      <c r="BE219" s="3"/>
    </row>
    <row r="220" spans="1:57" x14ac:dyDescent="0.2">
      <c r="A220" s="69" t="s">
        <v>406</v>
      </c>
      <c r="B220" s="70"/>
      <c r="C220" s="70"/>
      <c r="D220" s="71"/>
      <c r="E220" s="73"/>
      <c r="F220" s="109" t="str">
        <f>HYPERLINK("http://pbs.twimg.com/profile_images/1279406078690721792/hUsQCicf_normal.jpg")</f>
        <v>http://pbs.twimg.com/profile_images/1279406078690721792/hUsQCicf_normal.jpg</v>
      </c>
      <c r="G220" s="70"/>
      <c r="H220" s="74"/>
      <c r="I220" s="75"/>
      <c r="J220" s="75"/>
      <c r="K220" s="74" t="s">
        <v>3024</v>
      </c>
      <c r="L220" s="78"/>
      <c r="M220" s="79"/>
      <c r="N220" s="79"/>
      <c r="O220" s="80"/>
      <c r="P220" s="81"/>
      <c r="Q220" s="81"/>
      <c r="R220" s="93"/>
      <c r="S220" s="93"/>
      <c r="T220" s="93"/>
      <c r="U220" s="93"/>
      <c r="V220" s="52"/>
      <c r="W220" s="52"/>
      <c r="X220" s="52"/>
      <c r="Y220" s="52"/>
      <c r="Z220" s="51"/>
      <c r="AA220" s="76"/>
      <c r="AB220" s="76"/>
      <c r="AC220" s="77"/>
      <c r="AD220" s="83" t="s">
        <v>406</v>
      </c>
      <c r="AE220" s="91" t="s">
        <v>2308</v>
      </c>
      <c r="AF220" s="83">
        <v>485</v>
      </c>
      <c r="AG220" s="83">
        <v>57</v>
      </c>
      <c r="AH220" s="83">
        <v>6793</v>
      </c>
      <c r="AI220" s="83">
        <v>12133</v>
      </c>
      <c r="AJ220" s="83"/>
      <c r="AK220" s="83" t="s">
        <v>2571</v>
      </c>
      <c r="AL220" s="83" t="s">
        <v>2771</v>
      </c>
      <c r="AM220" s="83"/>
      <c r="AN220" s="83"/>
      <c r="AO220" s="85">
        <v>43523.989976851852</v>
      </c>
      <c r="AP220" s="88" t="str">
        <f>HYPERLINK("https://pbs.twimg.com/profile_banners/1100904807995490304/1593869154")</f>
        <v>https://pbs.twimg.com/profile_banners/1100904807995490304/1593869154</v>
      </c>
      <c r="AQ220" s="83" t="b">
        <v>1</v>
      </c>
      <c r="AR220" s="83" t="b">
        <v>0</v>
      </c>
      <c r="AS220" s="83" t="b">
        <v>0</v>
      </c>
      <c r="AT220" s="83"/>
      <c r="AU220" s="83">
        <v>1</v>
      </c>
      <c r="AV220" s="83"/>
      <c r="AW220" s="83" t="b">
        <v>0</v>
      </c>
      <c r="AX220" s="83" t="s">
        <v>2807</v>
      </c>
      <c r="AY220" s="88" t="str">
        <f>HYPERLINK("https://twitter.com/thekaratekid83")</f>
        <v>https://twitter.com/thekaratekid83</v>
      </c>
      <c r="AZ220" s="83" t="s">
        <v>66</v>
      </c>
      <c r="BA220" s="2"/>
      <c r="BB220" s="3"/>
      <c r="BC220" s="3"/>
      <c r="BD220" s="3"/>
      <c r="BE220" s="3"/>
    </row>
    <row r="221" spans="1:57" x14ac:dyDescent="0.2">
      <c r="A221" s="69" t="s">
        <v>420</v>
      </c>
      <c r="B221" s="70"/>
      <c r="C221" s="70"/>
      <c r="D221" s="71"/>
      <c r="E221" s="73"/>
      <c r="F221" s="109" t="str">
        <f>HYPERLINK("http://pbs.twimg.com/profile_images/644997827886583808/_Dr0VpiZ_normal.jpg")</f>
        <v>http://pbs.twimg.com/profile_images/644997827886583808/_Dr0VpiZ_normal.jpg</v>
      </c>
      <c r="G221" s="70"/>
      <c r="H221" s="74"/>
      <c r="I221" s="75"/>
      <c r="J221" s="75"/>
      <c r="K221" s="74" t="s">
        <v>3025</v>
      </c>
      <c r="L221" s="78"/>
      <c r="M221" s="79"/>
      <c r="N221" s="79"/>
      <c r="O221" s="80"/>
      <c r="P221" s="81"/>
      <c r="Q221" s="81"/>
      <c r="R221" s="93"/>
      <c r="S221" s="93"/>
      <c r="T221" s="93"/>
      <c r="U221" s="93"/>
      <c r="V221" s="52"/>
      <c r="W221" s="52"/>
      <c r="X221" s="52"/>
      <c r="Y221" s="52"/>
      <c r="Z221" s="51"/>
      <c r="AA221" s="76"/>
      <c r="AB221" s="76"/>
      <c r="AC221" s="77"/>
      <c r="AD221" s="83" t="s">
        <v>2044</v>
      </c>
      <c r="AE221" s="91" t="s">
        <v>2309</v>
      </c>
      <c r="AF221" s="83">
        <v>931</v>
      </c>
      <c r="AG221" s="83">
        <v>5013</v>
      </c>
      <c r="AH221" s="83">
        <v>5209</v>
      </c>
      <c r="AI221" s="83">
        <v>26572</v>
      </c>
      <c r="AJ221" s="83"/>
      <c r="AK221" s="83" t="s">
        <v>2572</v>
      </c>
      <c r="AL221" s="83" t="s">
        <v>2772</v>
      </c>
      <c r="AM221" s="88" t="str">
        <f>HYPERLINK("https://t.co/qX3obUE9i0")</f>
        <v>https://t.co/qX3obUE9i0</v>
      </c>
      <c r="AN221" s="83"/>
      <c r="AO221" s="85">
        <v>42192.642488425925</v>
      </c>
      <c r="AP221" s="88" t="str">
        <f>HYPERLINK("https://pbs.twimg.com/profile_banners/3271040952/1561544001")</f>
        <v>https://pbs.twimg.com/profile_banners/3271040952/1561544001</v>
      </c>
      <c r="AQ221" s="83" t="b">
        <v>0</v>
      </c>
      <c r="AR221" s="83" t="b">
        <v>0</v>
      </c>
      <c r="AS221" s="83" t="b">
        <v>0</v>
      </c>
      <c r="AT221" s="83"/>
      <c r="AU221" s="83">
        <v>19</v>
      </c>
      <c r="AV221" s="88" t="str">
        <f>HYPERLINK("http://abs.twimg.com/images/themes/theme1/bg.png")</f>
        <v>http://abs.twimg.com/images/themes/theme1/bg.png</v>
      </c>
      <c r="AW221" s="83" t="b">
        <v>0</v>
      </c>
      <c r="AX221" s="83" t="s">
        <v>2807</v>
      </c>
      <c r="AY221" s="88" t="str">
        <f>HYPERLINK("https://twitter.com/representltd")</f>
        <v>https://twitter.com/representltd</v>
      </c>
      <c r="AZ221" s="83" t="s">
        <v>66</v>
      </c>
      <c r="BA221" s="2"/>
      <c r="BB221" s="3"/>
      <c r="BC221" s="3"/>
      <c r="BD221" s="3"/>
      <c r="BE221" s="3"/>
    </row>
    <row r="222" spans="1:57" x14ac:dyDescent="0.2">
      <c r="A222" s="69" t="s">
        <v>407</v>
      </c>
      <c r="B222" s="70"/>
      <c r="C222" s="70"/>
      <c r="D222" s="71"/>
      <c r="E222" s="73"/>
      <c r="F222" s="109" t="str">
        <f>HYPERLINK("http://pbs.twimg.com/profile_images/1261146582143037440/wd83Wvq1_normal.jpg")</f>
        <v>http://pbs.twimg.com/profile_images/1261146582143037440/wd83Wvq1_normal.jpg</v>
      </c>
      <c r="G222" s="70"/>
      <c r="H222" s="74"/>
      <c r="I222" s="75"/>
      <c r="J222" s="75"/>
      <c r="K222" s="74" t="s">
        <v>3026</v>
      </c>
      <c r="L222" s="78"/>
      <c r="M222" s="79"/>
      <c r="N222" s="79"/>
      <c r="O222" s="80"/>
      <c r="P222" s="81"/>
      <c r="Q222" s="81"/>
      <c r="R222" s="93"/>
      <c r="S222" s="93"/>
      <c r="T222" s="93"/>
      <c r="U222" s="93"/>
      <c r="V222" s="52"/>
      <c r="W222" s="52"/>
      <c r="X222" s="52"/>
      <c r="Y222" s="52"/>
      <c r="Z222" s="51"/>
      <c r="AA222" s="76"/>
      <c r="AB222" s="76"/>
      <c r="AC222" s="77"/>
      <c r="AD222" s="83" t="s">
        <v>407</v>
      </c>
      <c r="AE222" s="91" t="s">
        <v>2310</v>
      </c>
      <c r="AF222" s="83">
        <v>106</v>
      </c>
      <c r="AG222" s="83">
        <v>66</v>
      </c>
      <c r="AH222" s="83">
        <v>1007</v>
      </c>
      <c r="AI222" s="83">
        <v>1371</v>
      </c>
      <c r="AJ222" s="83"/>
      <c r="AK222" s="83" t="s">
        <v>2573</v>
      </c>
      <c r="AL222" s="83" t="s">
        <v>2773</v>
      </c>
      <c r="AM222" s="83"/>
      <c r="AN222" s="83"/>
      <c r="AO222" s="85">
        <v>40357.659328703703</v>
      </c>
      <c r="AP222" s="88" t="str">
        <f>HYPERLINK("https://pbs.twimg.com/profile_banners/160583487/1590724264")</f>
        <v>https://pbs.twimg.com/profile_banners/160583487/1590724264</v>
      </c>
      <c r="AQ222" s="83" t="b">
        <v>0</v>
      </c>
      <c r="AR222" s="83" t="b">
        <v>0</v>
      </c>
      <c r="AS222" s="83" t="b">
        <v>0</v>
      </c>
      <c r="AT222" s="83"/>
      <c r="AU222" s="83">
        <v>1</v>
      </c>
      <c r="AV222" s="88" t="str">
        <f>HYPERLINK("http://abs.twimg.com/images/themes/theme14/bg.gif")</f>
        <v>http://abs.twimg.com/images/themes/theme14/bg.gif</v>
      </c>
      <c r="AW222" s="83" t="b">
        <v>0</v>
      </c>
      <c r="AX222" s="83" t="s">
        <v>2807</v>
      </c>
      <c r="AY222" s="88" t="str">
        <f>HYPERLINK("https://twitter.com/55yankeee")</f>
        <v>https://twitter.com/55yankeee</v>
      </c>
      <c r="AZ222" s="83" t="s">
        <v>66</v>
      </c>
      <c r="BA222" s="2"/>
      <c r="BB222" s="3"/>
      <c r="BC222" s="3"/>
      <c r="BD222" s="3"/>
      <c r="BE222" s="3"/>
    </row>
    <row r="223" spans="1:57" x14ac:dyDescent="0.2">
      <c r="A223" s="69" t="s">
        <v>410</v>
      </c>
      <c r="B223" s="70"/>
      <c r="C223" s="70"/>
      <c r="D223" s="71"/>
      <c r="E223" s="73"/>
      <c r="F223" s="109" t="str">
        <f>HYPERLINK("http://pbs.twimg.com/profile_images/1213429912041705472/NNVo6b6G_normal.jpg")</f>
        <v>http://pbs.twimg.com/profile_images/1213429912041705472/NNVo6b6G_normal.jpg</v>
      </c>
      <c r="G223" s="70"/>
      <c r="H223" s="74"/>
      <c r="I223" s="75"/>
      <c r="J223" s="75"/>
      <c r="K223" s="74" t="s">
        <v>3027</v>
      </c>
      <c r="L223" s="78"/>
      <c r="M223" s="79"/>
      <c r="N223" s="79"/>
      <c r="O223" s="80"/>
      <c r="P223" s="81"/>
      <c r="Q223" s="81"/>
      <c r="R223" s="93"/>
      <c r="S223" s="93"/>
      <c r="T223" s="93"/>
      <c r="U223" s="93"/>
      <c r="V223" s="52"/>
      <c r="W223" s="52"/>
      <c r="X223" s="52"/>
      <c r="Y223" s="52"/>
      <c r="Z223" s="51"/>
      <c r="AA223" s="76"/>
      <c r="AB223" s="76"/>
      <c r="AC223" s="77"/>
      <c r="AD223" s="83" t="s">
        <v>2045</v>
      </c>
      <c r="AE223" s="91" t="s">
        <v>2311</v>
      </c>
      <c r="AF223" s="83">
        <v>56</v>
      </c>
      <c r="AG223" s="83">
        <v>56</v>
      </c>
      <c r="AH223" s="83">
        <v>359</v>
      </c>
      <c r="AI223" s="83">
        <v>522</v>
      </c>
      <c r="AJ223" s="83"/>
      <c r="AK223" s="83" t="s">
        <v>2574</v>
      </c>
      <c r="AL223" s="83"/>
      <c r="AM223" s="83"/>
      <c r="AN223" s="83"/>
      <c r="AO223" s="85">
        <v>43511.481354166666</v>
      </c>
      <c r="AP223" s="88" t="str">
        <f>HYPERLINK("https://pbs.twimg.com/profile_banners/1096371833375354880/1565843222")</f>
        <v>https://pbs.twimg.com/profile_banners/1096371833375354880/1565843222</v>
      </c>
      <c r="AQ223" s="83" t="b">
        <v>1</v>
      </c>
      <c r="AR223" s="83" t="b">
        <v>0</v>
      </c>
      <c r="AS223" s="83" t="b">
        <v>0</v>
      </c>
      <c r="AT223" s="83"/>
      <c r="AU223" s="83">
        <v>0</v>
      </c>
      <c r="AV223" s="83"/>
      <c r="AW223" s="83" t="b">
        <v>0</v>
      </c>
      <c r="AX223" s="83" t="s">
        <v>2807</v>
      </c>
      <c r="AY223" s="88" t="str">
        <f>HYPERLINK("https://twitter.com/momo99momo1")</f>
        <v>https://twitter.com/momo99momo1</v>
      </c>
      <c r="AZ223" s="83" t="s">
        <v>66</v>
      </c>
      <c r="BA223" s="2"/>
      <c r="BB223" s="3"/>
      <c r="BC223" s="3"/>
      <c r="BD223" s="3"/>
      <c r="BE223" s="3"/>
    </row>
    <row r="224" spans="1:57" x14ac:dyDescent="0.2">
      <c r="A224" s="69" t="s">
        <v>411</v>
      </c>
      <c r="B224" s="70"/>
      <c r="C224" s="70"/>
      <c r="D224" s="71"/>
      <c r="E224" s="73"/>
      <c r="F224" s="109" t="str">
        <f>HYPERLINK("http://pbs.twimg.com/profile_images/1250429290149072897/hiw6gx2s_normal.jpg")</f>
        <v>http://pbs.twimg.com/profile_images/1250429290149072897/hiw6gx2s_normal.jpg</v>
      </c>
      <c r="G224" s="70"/>
      <c r="H224" s="74"/>
      <c r="I224" s="75"/>
      <c r="J224" s="75"/>
      <c r="K224" s="74" t="s">
        <v>3028</v>
      </c>
      <c r="L224" s="78"/>
      <c r="M224" s="79"/>
      <c r="N224" s="79"/>
      <c r="O224" s="80"/>
      <c r="P224" s="81"/>
      <c r="Q224" s="81"/>
      <c r="R224" s="93"/>
      <c r="S224" s="93"/>
      <c r="T224" s="93"/>
      <c r="U224" s="93"/>
      <c r="V224" s="52"/>
      <c r="W224" s="52"/>
      <c r="X224" s="52"/>
      <c r="Y224" s="52"/>
      <c r="Z224" s="51"/>
      <c r="AA224" s="76"/>
      <c r="AB224" s="76"/>
      <c r="AC224" s="77"/>
      <c r="AD224" s="83" t="s">
        <v>2046</v>
      </c>
      <c r="AE224" s="91" t="s">
        <v>2312</v>
      </c>
      <c r="AF224" s="83">
        <v>17</v>
      </c>
      <c r="AG224" s="83">
        <v>1</v>
      </c>
      <c r="AH224" s="83">
        <v>16</v>
      </c>
      <c r="AI224" s="83">
        <v>41</v>
      </c>
      <c r="AJ224" s="83"/>
      <c r="AK224" s="83"/>
      <c r="AL224" s="83"/>
      <c r="AM224" s="83"/>
      <c r="AN224" s="83"/>
      <c r="AO224" s="85">
        <v>43936.598078703704</v>
      </c>
      <c r="AP224" s="83"/>
      <c r="AQ224" s="83" t="b">
        <v>1</v>
      </c>
      <c r="AR224" s="83" t="b">
        <v>0</v>
      </c>
      <c r="AS224" s="83" t="b">
        <v>0</v>
      </c>
      <c r="AT224" s="83"/>
      <c r="AU224" s="83">
        <v>0</v>
      </c>
      <c r="AV224" s="83"/>
      <c r="AW224" s="83" t="b">
        <v>0</v>
      </c>
      <c r="AX224" s="83" t="s">
        <v>2807</v>
      </c>
      <c r="AY224" s="88" t="str">
        <f>HYPERLINK("https://twitter.com/mikemur69208563")</f>
        <v>https://twitter.com/mikemur69208563</v>
      </c>
      <c r="AZ224" s="83" t="s">
        <v>66</v>
      </c>
      <c r="BA224" s="2"/>
      <c r="BB224" s="3"/>
      <c r="BC224" s="3"/>
      <c r="BD224" s="3"/>
      <c r="BE224" s="3"/>
    </row>
    <row r="225" spans="1:57" x14ac:dyDescent="0.2">
      <c r="A225" s="69" t="s">
        <v>412</v>
      </c>
      <c r="B225" s="70"/>
      <c r="C225" s="70"/>
      <c r="D225" s="71"/>
      <c r="E225" s="73"/>
      <c r="F225" s="109" t="str">
        <f>HYPERLINK("http://pbs.twimg.com/profile_images/1223506914224394242/CQ4_UY6i_normal.jpg")</f>
        <v>http://pbs.twimg.com/profile_images/1223506914224394242/CQ4_UY6i_normal.jpg</v>
      </c>
      <c r="G225" s="70"/>
      <c r="H225" s="74"/>
      <c r="I225" s="75"/>
      <c r="J225" s="75"/>
      <c r="K225" s="74" t="s">
        <v>3029</v>
      </c>
      <c r="L225" s="78"/>
      <c r="M225" s="79"/>
      <c r="N225" s="79"/>
      <c r="O225" s="80"/>
      <c r="P225" s="81"/>
      <c r="Q225" s="81"/>
      <c r="R225" s="93"/>
      <c r="S225" s="93"/>
      <c r="T225" s="93"/>
      <c r="U225" s="93"/>
      <c r="V225" s="52"/>
      <c r="W225" s="52"/>
      <c r="X225" s="52"/>
      <c r="Y225" s="52"/>
      <c r="Z225" s="51"/>
      <c r="AA225" s="76"/>
      <c r="AB225" s="76"/>
      <c r="AC225" s="77"/>
      <c r="AD225" s="83" t="s">
        <v>2047</v>
      </c>
      <c r="AE225" s="91" t="s">
        <v>2313</v>
      </c>
      <c r="AF225" s="83">
        <v>364</v>
      </c>
      <c r="AG225" s="83">
        <v>244</v>
      </c>
      <c r="AH225" s="83">
        <v>15698</v>
      </c>
      <c r="AI225" s="83">
        <v>21335</v>
      </c>
      <c r="AJ225" s="83"/>
      <c r="AK225" s="83" t="s">
        <v>2575</v>
      </c>
      <c r="AL225" s="83"/>
      <c r="AM225" s="83"/>
      <c r="AN225" s="83"/>
      <c r="AO225" s="85">
        <v>43505.821631944447</v>
      </c>
      <c r="AP225" s="88" t="str">
        <f>HYPERLINK("https://pbs.twimg.com/profile_banners/1094320817943437313/1580537289")</f>
        <v>https://pbs.twimg.com/profile_banners/1094320817943437313/1580537289</v>
      </c>
      <c r="AQ225" s="83" t="b">
        <v>1</v>
      </c>
      <c r="AR225" s="83" t="b">
        <v>0</v>
      </c>
      <c r="AS225" s="83" t="b">
        <v>0</v>
      </c>
      <c r="AT225" s="83"/>
      <c r="AU225" s="83">
        <v>0</v>
      </c>
      <c r="AV225" s="83"/>
      <c r="AW225" s="83" t="b">
        <v>0</v>
      </c>
      <c r="AX225" s="83" t="s">
        <v>2807</v>
      </c>
      <c r="AY225" s="88" t="str">
        <f>HYPERLINK("https://twitter.com/shinebr10868153")</f>
        <v>https://twitter.com/shinebr10868153</v>
      </c>
      <c r="AZ225" s="83" t="s">
        <v>66</v>
      </c>
      <c r="BA225" s="2"/>
      <c r="BB225" s="3"/>
      <c r="BC225" s="3"/>
      <c r="BD225" s="3"/>
      <c r="BE225" s="3"/>
    </row>
    <row r="226" spans="1:57" x14ac:dyDescent="0.2">
      <c r="A226" s="69" t="s">
        <v>413</v>
      </c>
      <c r="B226" s="70"/>
      <c r="C226" s="70"/>
      <c r="D226" s="71"/>
      <c r="E226" s="73"/>
      <c r="F226" s="109" t="str">
        <f>HYPERLINK("http://pbs.twimg.com/profile_images/1268799406331113472/WFxWdEMQ_normal.jpg")</f>
        <v>http://pbs.twimg.com/profile_images/1268799406331113472/WFxWdEMQ_normal.jpg</v>
      </c>
      <c r="G226" s="70"/>
      <c r="H226" s="74"/>
      <c r="I226" s="75"/>
      <c r="J226" s="75"/>
      <c r="K226" s="74" t="s">
        <v>3030</v>
      </c>
      <c r="L226" s="78"/>
      <c r="M226" s="79"/>
      <c r="N226" s="79"/>
      <c r="O226" s="80"/>
      <c r="P226" s="81"/>
      <c r="Q226" s="81"/>
      <c r="R226" s="93"/>
      <c r="S226" s="93"/>
      <c r="T226" s="93"/>
      <c r="U226" s="93"/>
      <c r="V226" s="52"/>
      <c r="W226" s="52"/>
      <c r="X226" s="52"/>
      <c r="Y226" s="52"/>
      <c r="Z226" s="51"/>
      <c r="AA226" s="76"/>
      <c r="AB226" s="76"/>
      <c r="AC226" s="77"/>
      <c r="AD226" s="83" t="s">
        <v>2048</v>
      </c>
      <c r="AE226" s="91" t="s">
        <v>2314</v>
      </c>
      <c r="AF226" s="83">
        <v>1556</v>
      </c>
      <c r="AG226" s="83">
        <v>585</v>
      </c>
      <c r="AH226" s="83">
        <v>12686</v>
      </c>
      <c r="AI226" s="83">
        <v>15550</v>
      </c>
      <c r="AJ226" s="83"/>
      <c r="AK226" s="83"/>
      <c r="AL226" s="83"/>
      <c r="AM226" s="83"/>
      <c r="AN226" s="83"/>
      <c r="AO226" s="85">
        <v>42234.844201388885</v>
      </c>
      <c r="AP226" s="88" t="str">
        <f>HYPERLINK("https://pbs.twimg.com/profile_banners/3319079540/1582158685")</f>
        <v>https://pbs.twimg.com/profile_banners/3319079540/1582158685</v>
      </c>
      <c r="AQ226" s="83" t="b">
        <v>1</v>
      </c>
      <c r="AR226" s="83" t="b">
        <v>0</v>
      </c>
      <c r="AS226" s="83" t="b">
        <v>0</v>
      </c>
      <c r="AT226" s="83"/>
      <c r="AU226" s="83">
        <v>1</v>
      </c>
      <c r="AV226" s="88" t="str">
        <f>HYPERLINK("http://abs.twimg.com/images/themes/theme1/bg.png")</f>
        <v>http://abs.twimg.com/images/themes/theme1/bg.png</v>
      </c>
      <c r="AW226" s="83" t="b">
        <v>0</v>
      </c>
      <c r="AX226" s="83" t="s">
        <v>2807</v>
      </c>
      <c r="AY226" s="88" t="str">
        <f>HYPERLINK("https://twitter.com/trudyelliot")</f>
        <v>https://twitter.com/trudyelliot</v>
      </c>
      <c r="AZ226" s="83" t="s">
        <v>66</v>
      </c>
      <c r="BA226" s="2"/>
      <c r="BB226" s="3"/>
      <c r="BC226" s="3"/>
      <c r="BD226" s="3"/>
      <c r="BE226" s="3"/>
    </row>
    <row r="227" spans="1:57" x14ac:dyDescent="0.2">
      <c r="A227" s="69" t="s">
        <v>414</v>
      </c>
      <c r="B227" s="70"/>
      <c r="C227" s="70"/>
      <c r="D227" s="71"/>
      <c r="E227" s="73"/>
      <c r="F227" s="109" t="str">
        <f>HYPERLINK("http://pbs.twimg.com/profile_images/880977746196922368/MmdRcHbF_normal.jpg")</f>
        <v>http://pbs.twimg.com/profile_images/880977746196922368/MmdRcHbF_normal.jpg</v>
      </c>
      <c r="G227" s="70"/>
      <c r="H227" s="74"/>
      <c r="I227" s="75"/>
      <c r="J227" s="75"/>
      <c r="K227" s="74" t="s">
        <v>3031</v>
      </c>
      <c r="L227" s="78"/>
      <c r="M227" s="79"/>
      <c r="N227" s="79"/>
      <c r="O227" s="80"/>
      <c r="P227" s="81"/>
      <c r="Q227" s="81"/>
      <c r="R227" s="93"/>
      <c r="S227" s="93"/>
      <c r="T227" s="93"/>
      <c r="U227" s="93"/>
      <c r="V227" s="52"/>
      <c r="W227" s="52"/>
      <c r="X227" s="52"/>
      <c r="Y227" s="52"/>
      <c r="Z227" s="51"/>
      <c r="AA227" s="76"/>
      <c r="AB227" s="76"/>
      <c r="AC227" s="77"/>
      <c r="AD227" s="83" t="s">
        <v>2049</v>
      </c>
      <c r="AE227" s="91" t="s">
        <v>2315</v>
      </c>
      <c r="AF227" s="83">
        <v>1412</v>
      </c>
      <c r="AG227" s="83">
        <v>3259</v>
      </c>
      <c r="AH227" s="83">
        <v>9233</v>
      </c>
      <c r="AI227" s="83">
        <v>3638</v>
      </c>
      <c r="AJ227" s="83"/>
      <c r="AK227" s="83" t="s">
        <v>2576</v>
      </c>
      <c r="AL227" s="83" t="s">
        <v>2774</v>
      </c>
      <c r="AM227" s="88" t="str">
        <f>HYPERLINK("https://t.co/gBYSUnrKf8")</f>
        <v>https://t.co/gBYSUnrKf8</v>
      </c>
      <c r="AN227" s="83"/>
      <c r="AO227" s="85">
        <v>39904.862743055557</v>
      </c>
      <c r="AP227" s="88" t="str">
        <f>HYPERLINK("https://pbs.twimg.com/profile_banners/28190312/1585322213")</f>
        <v>https://pbs.twimg.com/profile_banners/28190312/1585322213</v>
      </c>
      <c r="AQ227" s="83" t="b">
        <v>0</v>
      </c>
      <c r="AR227" s="83" t="b">
        <v>0</v>
      </c>
      <c r="AS227" s="83" t="b">
        <v>0</v>
      </c>
      <c r="AT227" s="83"/>
      <c r="AU227" s="83">
        <v>130</v>
      </c>
      <c r="AV227" s="88" t="str">
        <f>HYPERLINK("http://abs.twimg.com/images/themes/theme19/bg.gif")</f>
        <v>http://abs.twimg.com/images/themes/theme19/bg.gif</v>
      </c>
      <c r="AW227" s="83" t="b">
        <v>0</v>
      </c>
      <c r="AX227" s="83" t="s">
        <v>2807</v>
      </c>
      <c r="AY227" s="88" t="str">
        <f>HYPERLINK("https://twitter.com/jefferystraker")</f>
        <v>https://twitter.com/jefferystraker</v>
      </c>
      <c r="AZ227" s="83" t="s">
        <v>66</v>
      </c>
      <c r="BA227" s="2"/>
      <c r="BB227" s="3"/>
      <c r="BC227" s="3"/>
      <c r="BD227" s="3"/>
      <c r="BE227" s="3"/>
    </row>
    <row r="228" spans="1:57" x14ac:dyDescent="0.2">
      <c r="A228" s="69" t="s">
        <v>415</v>
      </c>
      <c r="B228" s="70"/>
      <c r="C228" s="70"/>
      <c r="D228" s="71"/>
      <c r="E228" s="73"/>
      <c r="F228" s="109" t="str">
        <f>HYPERLINK("http://pbs.twimg.com/profile_images/1125072036068503558/CyzCJyQU_normal.jpg")</f>
        <v>http://pbs.twimg.com/profile_images/1125072036068503558/CyzCJyQU_normal.jpg</v>
      </c>
      <c r="G228" s="70"/>
      <c r="H228" s="74"/>
      <c r="I228" s="75"/>
      <c r="J228" s="75"/>
      <c r="K228" s="74" t="s">
        <v>3032</v>
      </c>
      <c r="L228" s="78"/>
      <c r="M228" s="79"/>
      <c r="N228" s="79"/>
      <c r="O228" s="80"/>
      <c r="P228" s="81"/>
      <c r="Q228" s="81"/>
      <c r="R228" s="93"/>
      <c r="S228" s="93"/>
      <c r="T228" s="93"/>
      <c r="U228" s="93"/>
      <c r="V228" s="52"/>
      <c r="W228" s="52"/>
      <c r="X228" s="52"/>
      <c r="Y228" s="52"/>
      <c r="Z228" s="51"/>
      <c r="AA228" s="76"/>
      <c r="AB228" s="76"/>
      <c r="AC228" s="77"/>
      <c r="AD228" s="83" t="s">
        <v>2050</v>
      </c>
      <c r="AE228" s="91" t="s">
        <v>2316</v>
      </c>
      <c r="AF228" s="83">
        <v>612</v>
      </c>
      <c r="AG228" s="83">
        <v>301</v>
      </c>
      <c r="AH228" s="83">
        <v>14516</v>
      </c>
      <c r="AI228" s="83">
        <v>16940</v>
      </c>
      <c r="AJ228" s="83"/>
      <c r="AK228" s="83"/>
      <c r="AL228" s="83"/>
      <c r="AM228" s="83"/>
      <c r="AN228" s="83"/>
      <c r="AO228" s="85">
        <v>41718.894421296296</v>
      </c>
      <c r="AP228" s="88" t="str">
        <f>HYPERLINK("https://pbs.twimg.com/profile_banners/2425551401/1510343131")</f>
        <v>https://pbs.twimg.com/profile_banners/2425551401/1510343131</v>
      </c>
      <c r="AQ228" s="83" t="b">
        <v>1</v>
      </c>
      <c r="AR228" s="83" t="b">
        <v>0</v>
      </c>
      <c r="AS228" s="83" t="b">
        <v>0</v>
      </c>
      <c r="AT228" s="83"/>
      <c r="AU228" s="83">
        <v>0</v>
      </c>
      <c r="AV228" s="88" t="str">
        <f>HYPERLINK("http://abs.twimg.com/images/themes/theme1/bg.png")</f>
        <v>http://abs.twimg.com/images/themes/theme1/bg.png</v>
      </c>
      <c r="AW228" s="83" t="b">
        <v>0</v>
      </c>
      <c r="AX228" s="83" t="s">
        <v>2807</v>
      </c>
      <c r="AY228" s="88" t="str">
        <f>HYPERLINK("https://twitter.com/hildahealing")</f>
        <v>https://twitter.com/hildahealing</v>
      </c>
      <c r="AZ228" s="83" t="s">
        <v>66</v>
      </c>
      <c r="BA228" s="2"/>
      <c r="BB228" s="3"/>
      <c r="BC228" s="3"/>
      <c r="BD228" s="3"/>
      <c r="BE228" s="3"/>
    </row>
    <row r="229" spans="1:57" x14ac:dyDescent="0.2">
      <c r="A229" s="69" t="s">
        <v>416</v>
      </c>
      <c r="B229" s="70"/>
      <c r="C229" s="70"/>
      <c r="D229" s="71"/>
      <c r="E229" s="73"/>
      <c r="F229" s="109" t="str">
        <f>HYPERLINK("http://pbs.twimg.com/profile_images/1140318021686353923/M00UCe4S_normal.png")</f>
        <v>http://pbs.twimg.com/profile_images/1140318021686353923/M00UCe4S_normal.png</v>
      </c>
      <c r="G229" s="70"/>
      <c r="H229" s="74"/>
      <c r="I229" s="75"/>
      <c r="J229" s="75"/>
      <c r="K229" s="74" t="s">
        <v>3033</v>
      </c>
      <c r="L229" s="78"/>
      <c r="M229" s="79"/>
      <c r="N229" s="79"/>
      <c r="O229" s="80"/>
      <c r="P229" s="81"/>
      <c r="Q229" s="81"/>
      <c r="R229" s="93"/>
      <c r="S229" s="93"/>
      <c r="T229" s="93"/>
      <c r="U229" s="93"/>
      <c r="V229" s="52"/>
      <c r="W229" s="52"/>
      <c r="X229" s="52"/>
      <c r="Y229" s="52"/>
      <c r="Z229" s="51"/>
      <c r="AA229" s="76"/>
      <c r="AB229" s="76"/>
      <c r="AC229" s="77"/>
      <c r="AD229" s="83" t="s">
        <v>2051</v>
      </c>
      <c r="AE229" s="91" t="s">
        <v>2317</v>
      </c>
      <c r="AF229" s="83">
        <v>42</v>
      </c>
      <c r="AG229" s="83">
        <v>18</v>
      </c>
      <c r="AH229" s="83">
        <v>1444</v>
      </c>
      <c r="AI229" s="83">
        <v>2734</v>
      </c>
      <c r="AJ229" s="83"/>
      <c r="AK229" s="83" t="s">
        <v>2577</v>
      </c>
      <c r="AL229" s="83"/>
      <c r="AM229" s="83"/>
      <c r="AN229" s="83"/>
      <c r="AO229" s="85">
        <v>40890.690659722219</v>
      </c>
      <c r="AP229" s="88" t="str">
        <f>HYPERLINK("https://pbs.twimg.com/profile_banners/435952262/1585529971")</f>
        <v>https://pbs.twimg.com/profile_banners/435952262/1585529971</v>
      </c>
      <c r="AQ229" s="83" t="b">
        <v>0</v>
      </c>
      <c r="AR229" s="83" t="b">
        <v>0</v>
      </c>
      <c r="AS229" s="83" t="b">
        <v>0</v>
      </c>
      <c r="AT229" s="83"/>
      <c r="AU229" s="83">
        <v>0</v>
      </c>
      <c r="AV229" s="88" t="str">
        <f>HYPERLINK("http://abs.twimg.com/images/themes/theme13/bg.gif")</f>
        <v>http://abs.twimg.com/images/themes/theme13/bg.gif</v>
      </c>
      <c r="AW229" s="83" t="b">
        <v>0</v>
      </c>
      <c r="AX229" s="83" t="s">
        <v>2807</v>
      </c>
      <c r="AY229" s="88" t="str">
        <f>HYPERLINK("https://twitter.com/vivienmaron")</f>
        <v>https://twitter.com/vivienmaron</v>
      </c>
      <c r="AZ229" s="83" t="s">
        <v>66</v>
      </c>
      <c r="BA229" s="2"/>
      <c r="BB229" s="3"/>
      <c r="BC229" s="3"/>
      <c r="BD229" s="3"/>
      <c r="BE229" s="3"/>
    </row>
    <row r="230" spans="1:57" x14ac:dyDescent="0.2">
      <c r="A230" s="69" t="s">
        <v>417</v>
      </c>
      <c r="B230" s="70"/>
      <c r="C230" s="70"/>
      <c r="D230" s="71"/>
      <c r="E230" s="73"/>
      <c r="F230" s="109" t="str">
        <f>HYPERLINK("http://pbs.twimg.com/profile_images/1622761919/akabeko_icon4_normal.jpg")</f>
        <v>http://pbs.twimg.com/profile_images/1622761919/akabeko_icon4_normal.jpg</v>
      </c>
      <c r="G230" s="70"/>
      <c r="H230" s="74"/>
      <c r="I230" s="75"/>
      <c r="J230" s="75"/>
      <c r="K230" s="74" t="s">
        <v>3034</v>
      </c>
      <c r="L230" s="78"/>
      <c r="M230" s="79"/>
      <c r="N230" s="79"/>
      <c r="O230" s="80"/>
      <c r="P230" s="81"/>
      <c r="Q230" s="81"/>
      <c r="R230" s="93"/>
      <c r="S230" s="93"/>
      <c r="T230" s="93"/>
      <c r="U230" s="93"/>
      <c r="V230" s="52"/>
      <c r="W230" s="52"/>
      <c r="X230" s="52"/>
      <c r="Y230" s="52"/>
      <c r="Z230" s="51"/>
      <c r="AA230" s="76"/>
      <c r="AB230" s="76"/>
      <c r="AC230" s="77"/>
      <c r="AD230" s="83" t="s">
        <v>2052</v>
      </c>
      <c r="AE230" s="91" t="s">
        <v>2318</v>
      </c>
      <c r="AF230" s="83">
        <v>573</v>
      </c>
      <c r="AG230" s="83">
        <v>509</v>
      </c>
      <c r="AH230" s="83">
        <v>52588</v>
      </c>
      <c r="AI230" s="83">
        <v>2023</v>
      </c>
      <c r="AJ230" s="83"/>
      <c r="AK230" s="83" t="s">
        <v>2578</v>
      </c>
      <c r="AL230" s="83" t="s">
        <v>2775</v>
      </c>
      <c r="AM230" s="88" t="str">
        <f>HYPERLINK("http://t.co/guPQfvYFM2")</f>
        <v>http://t.co/guPQfvYFM2</v>
      </c>
      <c r="AN230" s="83"/>
      <c r="AO230" s="85">
        <v>40118.993530092594</v>
      </c>
      <c r="AP230" s="83"/>
      <c r="AQ230" s="83" t="b">
        <v>1</v>
      </c>
      <c r="AR230" s="83" t="b">
        <v>0</v>
      </c>
      <c r="AS230" s="83" t="b">
        <v>1</v>
      </c>
      <c r="AT230" s="83"/>
      <c r="AU230" s="83">
        <v>32</v>
      </c>
      <c r="AV230" s="88" t="str">
        <f>HYPERLINK("http://abs.twimg.com/images/themes/theme1/bg.png")</f>
        <v>http://abs.twimg.com/images/themes/theme1/bg.png</v>
      </c>
      <c r="AW230" s="83" t="b">
        <v>0</v>
      </c>
      <c r="AX230" s="83" t="s">
        <v>2807</v>
      </c>
      <c r="AY230" s="88" t="str">
        <f>HYPERLINK("https://twitter.com/kaniwo")</f>
        <v>https://twitter.com/kaniwo</v>
      </c>
      <c r="AZ230" s="83" t="s">
        <v>66</v>
      </c>
      <c r="BA230" s="2"/>
      <c r="BB230" s="3"/>
      <c r="BC230" s="3"/>
      <c r="BD230" s="3"/>
      <c r="BE230" s="3"/>
    </row>
    <row r="231" spans="1:57" x14ac:dyDescent="0.2">
      <c r="A231" s="69" t="s">
        <v>418</v>
      </c>
      <c r="B231" s="70"/>
      <c r="C231" s="70"/>
      <c r="D231" s="71"/>
      <c r="E231" s="73"/>
      <c r="F231" s="109" t="str">
        <f>HYPERLINK("http://pbs.twimg.com/profile_images/1067981706039304192/Eoqx0uwd_normal.jpg")</f>
        <v>http://pbs.twimg.com/profile_images/1067981706039304192/Eoqx0uwd_normal.jpg</v>
      </c>
      <c r="G231" s="70"/>
      <c r="H231" s="74"/>
      <c r="I231" s="75"/>
      <c r="J231" s="75"/>
      <c r="K231" s="74" t="s">
        <v>3035</v>
      </c>
      <c r="L231" s="78"/>
      <c r="M231" s="79"/>
      <c r="N231" s="79"/>
      <c r="O231" s="80"/>
      <c r="P231" s="81"/>
      <c r="Q231" s="81"/>
      <c r="R231" s="93"/>
      <c r="S231" s="93"/>
      <c r="T231" s="93"/>
      <c r="U231" s="93"/>
      <c r="V231" s="52"/>
      <c r="W231" s="52"/>
      <c r="X231" s="52"/>
      <c r="Y231" s="52"/>
      <c r="Z231" s="51"/>
      <c r="AA231" s="76"/>
      <c r="AB231" s="76"/>
      <c r="AC231" s="77"/>
      <c r="AD231" s="83" t="s">
        <v>2053</v>
      </c>
      <c r="AE231" s="91" t="s">
        <v>2319</v>
      </c>
      <c r="AF231" s="83">
        <v>1330</v>
      </c>
      <c r="AG231" s="83">
        <v>753</v>
      </c>
      <c r="AH231" s="83">
        <v>1630</v>
      </c>
      <c r="AI231" s="83">
        <v>15309</v>
      </c>
      <c r="AJ231" s="83"/>
      <c r="AK231" s="83" t="s">
        <v>2579</v>
      </c>
      <c r="AL231" s="83" t="s">
        <v>2776</v>
      </c>
      <c r="AM231" s="83"/>
      <c r="AN231" s="83"/>
      <c r="AO231" s="85">
        <v>41895.51666666667</v>
      </c>
      <c r="AP231" s="88" t="str">
        <f>HYPERLINK("https://pbs.twimg.com/profile_banners/2807388896/1588100909")</f>
        <v>https://pbs.twimg.com/profile_banners/2807388896/1588100909</v>
      </c>
      <c r="AQ231" s="83" t="b">
        <v>0</v>
      </c>
      <c r="AR231" s="83" t="b">
        <v>0</v>
      </c>
      <c r="AS231" s="83" t="b">
        <v>0</v>
      </c>
      <c r="AT231" s="83"/>
      <c r="AU231" s="83">
        <v>0</v>
      </c>
      <c r="AV231" s="88" t="str">
        <f>HYPERLINK("http://abs.twimg.com/images/themes/theme1/bg.png")</f>
        <v>http://abs.twimg.com/images/themes/theme1/bg.png</v>
      </c>
      <c r="AW231" s="83" t="b">
        <v>0</v>
      </c>
      <c r="AX231" s="83" t="s">
        <v>2807</v>
      </c>
      <c r="AY231" s="88" t="str">
        <f>HYPERLINK("https://twitter.com/pineal_963")</f>
        <v>https://twitter.com/pineal_963</v>
      </c>
      <c r="AZ231" s="83" t="s">
        <v>66</v>
      </c>
      <c r="BA231" s="2"/>
      <c r="BB231" s="3"/>
      <c r="BC231" s="3"/>
      <c r="BD231" s="3"/>
      <c r="BE231" s="3"/>
    </row>
    <row r="232" spans="1:57" x14ac:dyDescent="0.2">
      <c r="A232" s="69" t="s">
        <v>419</v>
      </c>
      <c r="B232" s="70"/>
      <c r="C232" s="70"/>
      <c r="D232" s="71"/>
      <c r="E232" s="73"/>
      <c r="F232" s="109" t="str">
        <f>HYPERLINK("http://pbs.twimg.com/profile_images/1163637984920518656/IrMtCjeu_normal.jpg")</f>
        <v>http://pbs.twimg.com/profile_images/1163637984920518656/IrMtCjeu_normal.jpg</v>
      </c>
      <c r="G232" s="70"/>
      <c r="H232" s="74"/>
      <c r="I232" s="75"/>
      <c r="J232" s="75"/>
      <c r="K232" s="74" t="s">
        <v>3036</v>
      </c>
      <c r="L232" s="78"/>
      <c r="M232" s="79"/>
      <c r="N232" s="79"/>
      <c r="O232" s="80"/>
      <c r="P232" s="81"/>
      <c r="Q232" s="81"/>
      <c r="R232" s="93"/>
      <c r="S232" s="93"/>
      <c r="T232" s="93"/>
      <c r="U232" s="93"/>
      <c r="V232" s="52"/>
      <c r="W232" s="52"/>
      <c r="X232" s="52"/>
      <c r="Y232" s="52"/>
      <c r="Z232" s="51"/>
      <c r="AA232" s="76"/>
      <c r="AB232" s="76"/>
      <c r="AC232" s="77"/>
      <c r="AD232" s="83" t="s">
        <v>2054</v>
      </c>
      <c r="AE232" s="91" t="s">
        <v>2320</v>
      </c>
      <c r="AF232" s="83">
        <v>2159</v>
      </c>
      <c r="AG232" s="83">
        <v>930</v>
      </c>
      <c r="AH232" s="83">
        <v>5547</v>
      </c>
      <c r="AI232" s="83">
        <v>9915</v>
      </c>
      <c r="AJ232" s="83"/>
      <c r="AK232" s="83" t="s">
        <v>2580</v>
      </c>
      <c r="AL232" s="83"/>
      <c r="AM232" s="83"/>
      <c r="AN232" s="83"/>
      <c r="AO232" s="85">
        <v>43461.696863425925</v>
      </c>
      <c r="AP232" s="88" t="str">
        <f>HYPERLINK("https://pbs.twimg.com/profile_banners/1078330537394294784/1589289321")</f>
        <v>https://pbs.twimg.com/profile_banners/1078330537394294784/1589289321</v>
      </c>
      <c r="AQ232" s="83" t="b">
        <v>1</v>
      </c>
      <c r="AR232" s="83" t="b">
        <v>0</v>
      </c>
      <c r="AS232" s="83" t="b">
        <v>0</v>
      </c>
      <c r="AT232" s="83"/>
      <c r="AU232" s="83">
        <v>0</v>
      </c>
      <c r="AV232" s="83"/>
      <c r="AW232" s="83" t="b">
        <v>0</v>
      </c>
      <c r="AX232" s="83" t="s">
        <v>2807</v>
      </c>
      <c r="AY232" s="88" t="str">
        <f>HYPERLINK("https://twitter.com/garriottmatty")</f>
        <v>https://twitter.com/garriottmatty</v>
      </c>
      <c r="AZ232" s="83" t="s">
        <v>66</v>
      </c>
      <c r="BA232" s="2"/>
      <c r="BB232" s="3"/>
      <c r="BC232" s="3"/>
      <c r="BD232" s="3"/>
      <c r="BE232" s="3"/>
    </row>
    <row r="233" spans="1:57" x14ac:dyDescent="0.2">
      <c r="A233" s="69" t="s">
        <v>421</v>
      </c>
      <c r="B233" s="70"/>
      <c r="C233" s="70"/>
      <c r="D233" s="71"/>
      <c r="E233" s="73"/>
      <c r="F233" s="109" t="str">
        <f>HYPERLINK("http://pbs.twimg.com/profile_images/741097745591599106/3WLqHO2O_normal.jpg")</f>
        <v>http://pbs.twimg.com/profile_images/741097745591599106/3WLqHO2O_normal.jpg</v>
      </c>
      <c r="G233" s="70"/>
      <c r="H233" s="74"/>
      <c r="I233" s="75"/>
      <c r="J233" s="75"/>
      <c r="K233" s="74" t="s">
        <v>3037</v>
      </c>
      <c r="L233" s="78"/>
      <c r="M233" s="79"/>
      <c r="N233" s="79"/>
      <c r="O233" s="80"/>
      <c r="P233" s="81"/>
      <c r="Q233" s="81"/>
      <c r="R233" s="93"/>
      <c r="S233" s="93"/>
      <c r="T233" s="93"/>
      <c r="U233" s="93"/>
      <c r="V233" s="52"/>
      <c r="W233" s="52"/>
      <c r="X233" s="52"/>
      <c r="Y233" s="52"/>
      <c r="Z233" s="51"/>
      <c r="AA233" s="76"/>
      <c r="AB233" s="76"/>
      <c r="AC233" s="77"/>
      <c r="AD233" s="83" t="s">
        <v>2055</v>
      </c>
      <c r="AE233" s="91" t="s">
        <v>2321</v>
      </c>
      <c r="AF233" s="83">
        <v>719</v>
      </c>
      <c r="AG233" s="83">
        <v>1992</v>
      </c>
      <c r="AH233" s="83">
        <v>184318</v>
      </c>
      <c r="AI233" s="83">
        <v>169129</v>
      </c>
      <c r="AJ233" s="83"/>
      <c r="AK233" s="83" t="s">
        <v>2581</v>
      </c>
      <c r="AL233" s="83" t="s">
        <v>2777</v>
      </c>
      <c r="AM233" s="88" t="str">
        <f>HYPERLINK("https://t.co/V1xslPDmzZ")</f>
        <v>https://t.co/V1xslPDmzZ</v>
      </c>
      <c r="AN233" s="83"/>
      <c r="AO233" s="85">
        <v>41003.220497685186</v>
      </c>
      <c r="AP233" s="88" t="str">
        <f>HYPERLINK("https://pbs.twimg.com/profile_banners/544860616/1537890696")</f>
        <v>https://pbs.twimg.com/profile_banners/544860616/1537890696</v>
      </c>
      <c r="AQ233" s="83" t="b">
        <v>0</v>
      </c>
      <c r="AR233" s="83" t="b">
        <v>0</v>
      </c>
      <c r="AS233" s="83" t="b">
        <v>1</v>
      </c>
      <c r="AT233" s="83"/>
      <c r="AU233" s="83">
        <v>159</v>
      </c>
      <c r="AV233" s="88" t="str">
        <f>HYPERLINK("http://abs.twimg.com/images/themes/theme1/bg.png")</f>
        <v>http://abs.twimg.com/images/themes/theme1/bg.png</v>
      </c>
      <c r="AW233" s="83" t="b">
        <v>0</v>
      </c>
      <c r="AX233" s="83" t="s">
        <v>2807</v>
      </c>
      <c r="AY233" s="88" t="str">
        <f>HYPERLINK("https://twitter.com/bigru510")</f>
        <v>https://twitter.com/bigru510</v>
      </c>
      <c r="AZ233" s="83" t="s">
        <v>66</v>
      </c>
      <c r="BA233" s="2"/>
      <c r="BB233" s="3"/>
      <c r="BC233" s="3"/>
      <c r="BD233" s="3"/>
      <c r="BE233" s="3"/>
    </row>
    <row r="234" spans="1:57" x14ac:dyDescent="0.2">
      <c r="A234" s="69" t="s">
        <v>422</v>
      </c>
      <c r="B234" s="70"/>
      <c r="C234" s="70"/>
      <c r="D234" s="71"/>
      <c r="E234" s="73"/>
      <c r="F234" s="109" t="str">
        <f>HYPERLINK("http://pbs.twimg.com/profile_images/1045158604377083904/SZgegFwq_normal.jpg")</f>
        <v>http://pbs.twimg.com/profile_images/1045158604377083904/SZgegFwq_normal.jpg</v>
      </c>
      <c r="G234" s="70"/>
      <c r="H234" s="74"/>
      <c r="I234" s="75"/>
      <c r="J234" s="75"/>
      <c r="K234" s="74" t="s">
        <v>3038</v>
      </c>
      <c r="L234" s="78"/>
      <c r="M234" s="79"/>
      <c r="N234" s="79"/>
      <c r="O234" s="80"/>
      <c r="P234" s="81"/>
      <c r="Q234" s="81"/>
      <c r="R234" s="93"/>
      <c r="S234" s="93"/>
      <c r="T234" s="93"/>
      <c r="U234" s="93"/>
      <c r="V234" s="52"/>
      <c r="W234" s="52"/>
      <c r="X234" s="52"/>
      <c r="Y234" s="52"/>
      <c r="Z234" s="51"/>
      <c r="AA234" s="76"/>
      <c r="AB234" s="76"/>
      <c r="AC234" s="77"/>
      <c r="AD234" s="83" t="s">
        <v>2056</v>
      </c>
      <c r="AE234" s="91" t="s">
        <v>2322</v>
      </c>
      <c r="AF234" s="83">
        <v>1625</v>
      </c>
      <c r="AG234" s="83">
        <v>368</v>
      </c>
      <c r="AH234" s="83">
        <v>17736</v>
      </c>
      <c r="AI234" s="83">
        <v>10828</v>
      </c>
      <c r="AJ234" s="83"/>
      <c r="AK234" s="83" t="s">
        <v>2582</v>
      </c>
      <c r="AL234" s="83" t="s">
        <v>2778</v>
      </c>
      <c r="AM234" s="83"/>
      <c r="AN234" s="83"/>
      <c r="AO234" s="85">
        <v>40689.962777777779</v>
      </c>
      <c r="AP234" s="88" t="str">
        <f>HYPERLINK("https://pbs.twimg.com/profile_banners/305883827/1412218387")</f>
        <v>https://pbs.twimg.com/profile_banners/305883827/1412218387</v>
      </c>
      <c r="AQ234" s="83" t="b">
        <v>1</v>
      </c>
      <c r="AR234" s="83" t="b">
        <v>0</v>
      </c>
      <c r="AS234" s="83" t="b">
        <v>1</v>
      </c>
      <c r="AT234" s="83"/>
      <c r="AU234" s="83">
        <v>4</v>
      </c>
      <c r="AV234" s="88" t="str">
        <f>HYPERLINK("http://abs.twimg.com/images/themes/theme1/bg.png")</f>
        <v>http://abs.twimg.com/images/themes/theme1/bg.png</v>
      </c>
      <c r="AW234" s="83" t="b">
        <v>0</v>
      </c>
      <c r="AX234" s="83" t="s">
        <v>2807</v>
      </c>
      <c r="AY234" s="88" t="str">
        <f>HYPERLINK("https://twitter.com/patsywilliams1")</f>
        <v>https://twitter.com/patsywilliams1</v>
      </c>
      <c r="AZ234" s="83" t="s">
        <v>66</v>
      </c>
      <c r="BA234" s="2"/>
      <c r="BB234" s="3"/>
      <c r="BC234" s="3"/>
      <c r="BD234" s="3"/>
      <c r="BE234" s="3"/>
    </row>
    <row r="235" spans="1:57" x14ac:dyDescent="0.2">
      <c r="A235" s="69" t="s">
        <v>423</v>
      </c>
      <c r="B235" s="70"/>
      <c r="C235" s="70"/>
      <c r="D235" s="71"/>
      <c r="E235" s="73"/>
      <c r="F235" s="109" t="str">
        <f>HYPERLINK("http://pbs.twimg.com/profile_images/1007533608834252800/Xzh-_7lR_normal.jpg")</f>
        <v>http://pbs.twimg.com/profile_images/1007533608834252800/Xzh-_7lR_normal.jpg</v>
      </c>
      <c r="G235" s="70"/>
      <c r="H235" s="74"/>
      <c r="I235" s="75"/>
      <c r="J235" s="75"/>
      <c r="K235" s="74" t="s">
        <v>3039</v>
      </c>
      <c r="L235" s="78"/>
      <c r="M235" s="79"/>
      <c r="N235" s="79"/>
      <c r="O235" s="80"/>
      <c r="P235" s="81"/>
      <c r="Q235" s="81"/>
      <c r="R235" s="93"/>
      <c r="S235" s="93"/>
      <c r="T235" s="93"/>
      <c r="U235" s="93"/>
      <c r="V235" s="52"/>
      <c r="W235" s="52"/>
      <c r="X235" s="52"/>
      <c r="Y235" s="52"/>
      <c r="Z235" s="51"/>
      <c r="AA235" s="76"/>
      <c r="AB235" s="76"/>
      <c r="AC235" s="77"/>
      <c r="AD235" s="83" t="s">
        <v>2057</v>
      </c>
      <c r="AE235" s="91" t="s">
        <v>2323</v>
      </c>
      <c r="AF235" s="83">
        <v>1054</v>
      </c>
      <c r="AG235" s="83">
        <v>461</v>
      </c>
      <c r="AH235" s="83">
        <v>9248</v>
      </c>
      <c r="AI235" s="83">
        <v>14171</v>
      </c>
      <c r="AJ235" s="83"/>
      <c r="AK235" s="83" t="s">
        <v>2583</v>
      </c>
      <c r="AL235" s="83" t="s">
        <v>2779</v>
      </c>
      <c r="AM235" s="83"/>
      <c r="AN235" s="83"/>
      <c r="AO235" s="85">
        <v>43195.104745370372</v>
      </c>
      <c r="AP235" s="88" t="str">
        <f>HYPERLINK("https://pbs.twimg.com/profile_banners/981720788851220480/1549172251")</f>
        <v>https://pbs.twimg.com/profile_banners/981720788851220480/1549172251</v>
      </c>
      <c r="AQ235" s="83" t="b">
        <v>1</v>
      </c>
      <c r="AR235" s="83" t="b">
        <v>0</v>
      </c>
      <c r="AS235" s="83" t="b">
        <v>0</v>
      </c>
      <c r="AT235" s="83"/>
      <c r="AU235" s="83">
        <v>0</v>
      </c>
      <c r="AV235" s="83"/>
      <c r="AW235" s="83" t="b">
        <v>0</v>
      </c>
      <c r="AX235" s="83" t="s">
        <v>2807</v>
      </c>
      <c r="AY235" s="88" t="str">
        <f>HYPERLINK("https://twitter.com/genhydra")</f>
        <v>https://twitter.com/genhydra</v>
      </c>
      <c r="AZ235" s="83" t="s">
        <v>66</v>
      </c>
      <c r="BA235" s="2"/>
      <c r="BB235" s="3"/>
      <c r="BC235" s="3"/>
      <c r="BD235" s="3"/>
      <c r="BE235" s="3"/>
    </row>
    <row r="236" spans="1:57" x14ac:dyDescent="0.2">
      <c r="A236" s="69" t="s">
        <v>424</v>
      </c>
      <c r="B236" s="70"/>
      <c r="C236" s="70"/>
      <c r="D236" s="71"/>
      <c r="E236" s="73"/>
      <c r="F236" s="109" t="str">
        <f>HYPERLINK("http://pbs.twimg.com/profile_images/1407957729/thompson_beach_0216-2_normal.jpg")</f>
        <v>http://pbs.twimg.com/profile_images/1407957729/thompson_beach_0216-2_normal.jpg</v>
      </c>
      <c r="G236" s="70"/>
      <c r="H236" s="74"/>
      <c r="I236" s="75"/>
      <c r="J236" s="75"/>
      <c r="K236" s="74" t="s">
        <v>3040</v>
      </c>
      <c r="L236" s="78"/>
      <c r="M236" s="79"/>
      <c r="N236" s="79"/>
      <c r="O236" s="80"/>
      <c r="P236" s="81"/>
      <c r="Q236" s="81"/>
      <c r="R236" s="93"/>
      <c r="S236" s="93"/>
      <c r="T236" s="93"/>
      <c r="U236" s="93"/>
      <c r="V236" s="52"/>
      <c r="W236" s="52"/>
      <c r="X236" s="52"/>
      <c r="Y236" s="52"/>
      <c r="Z236" s="51"/>
      <c r="AA236" s="76"/>
      <c r="AB236" s="76"/>
      <c r="AC236" s="77"/>
      <c r="AD236" s="83" t="s">
        <v>2058</v>
      </c>
      <c r="AE236" s="91" t="s">
        <v>2324</v>
      </c>
      <c r="AF236" s="83">
        <v>3136</v>
      </c>
      <c r="AG236" s="83">
        <v>1016</v>
      </c>
      <c r="AH236" s="83">
        <v>29558</v>
      </c>
      <c r="AI236" s="83">
        <v>20158</v>
      </c>
      <c r="AJ236" s="83"/>
      <c r="AK236" s="83" t="s">
        <v>2584</v>
      </c>
      <c r="AL236" s="83" t="s">
        <v>2780</v>
      </c>
      <c r="AM236" s="88" t="str">
        <f>HYPERLINK("https://t.co/fqT3B2zGIN")</f>
        <v>https://t.co/fqT3B2zGIN</v>
      </c>
      <c r="AN236" s="83"/>
      <c r="AO236" s="85">
        <v>40505.691828703704</v>
      </c>
      <c r="AP236" s="88" t="str">
        <f>HYPERLINK("https://pbs.twimg.com/profile_banners/218981783/1568232248")</f>
        <v>https://pbs.twimg.com/profile_banners/218981783/1568232248</v>
      </c>
      <c r="AQ236" s="83" t="b">
        <v>1</v>
      </c>
      <c r="AR236" s="83" t="b">
        <v>0</v>
      </c>
      <c r="AS236" s="83" t="b">
        <v>1</v>
      </c>
      <c r="AT236" s="83"/>
      <c r="AU236" s="83">
        <v>28</v>
      </c>
      <c r="AV236" s="88" t="str">
        <f>HYPERLINK("http://abs.twimg.com/images/themes/theme1/bg.png")</f>
        <v>http://abs.twimg.com/images/themes/theme1/bg.png</v>
      </c>
      <c r="AW236" s="83" t="b">
        <v>0</v>
      </c>
      <c r="AX236" s="83" t="s">
        <v>2807</v>
      </c>
      <c r="AY236" s="88" t="str">
        <f>HYPERLINK("https://twitter.com/joyfulhandsther")</f>
        <v>https://twitter.com/joyfulhandsther</v>
      </c>
      <c r="AZ236" s="83" t="s">
        <v>66</v>
      </c>
      <c r="BA236" s="2"/>
      <c r="BB236" s="3"/>
      <c r="BC236" s="3"/>
      <c r="BD236" s="3"/>
      <c r="BE236" s="3"/>
    </row>
    <row r="237" spans="1:57" x14ac:dyDescent="0.2">
      <c r="A237" s="69" t="s">
        <v>425</v>
      </c>
      <c r="B237" s="70"/>
      <c r="C237" s="70"/>
      <c r="D237" s="71"/>
      <c r="E237" s="73"/>
      <c r="F237" s="109" t="str">
        <f>HYPERLINK("http://pbs.twimg.com/profile_images/1278107804377722883/hIfR-cDE_normal.jpg")</f>
        <v>http://pbs.twimg.com/profile_images/1278107804377722883/hIfR-cDE_normal.jpg</v>
      </c>
      <c r="G237" s="70"/>
      <c r="H237" s="74"/>
      <c r="I237" s="75"/>
      <c r="J237" s="75"/>
      <c r="K237" s="74" t="s">
        <v>3041</v>
      </c>
      <c r="L237" s="78"/>
      <c r="M237" s="79"/>
      <c r="N237" s="79"/>
      <c r="O237" s="80"/>
      <c r="P237" s="81"/>
      <c r="Q237" s="81"/>
      <c r="R237" s="93"/>
      <c r="S237" s="93"/>
      <c r="T237" s="93"/>
      <c r="U237" s="93"/>
      <c r="V237" s="52"/>
      <c r="W237" s="52"/>
      <c r="X237" s="52"/>
      <c r="Y237" s="52"/>
      <c r="Z237" s="51"/>
      <c r="AA237" s="76"/>
      <c r="AB237" s="76"/>
      <c r="AC237" s="77"/>
      <c r="AD237" s="83" t="s">
        <v>2059</v>
      </c>
      <c r="AE237" s="91" t="s">
        <v>2325</v>
      </c>
      <c r="AF237" s="83">
        <v>319</v>
      </c>
      <c r="AG237" s="83">
        <v>71</v>
      </c>
      <c r="AH237" s="83">
        <v>614</v>
      </c>
      <c r="AI237" s="83">
        <v>844</v>
      </c>
      <c r="AJ237" s="83"/>
      <c r="AK237" s="83" t="s">
        <v>2585</v>
      </c>
      <c r="AL237" s="83" t="s">
        <v>2680</v>
      </c>
      <c r="AM237" s="83"/>
      <c r="AN237" s="83"/>
      <c r="AO237" s="85">
        <v>43993.054872685185</v>
      </c>
      <c r="AP237" s="88" t="str">
        <f>HYPERLINK("https://pbs.twimg.com/profile_banners/1270887882430054400/1593558909")</f>
        <v>https://pbs.twimg.com/profile_banners/1270887882430054400/1593558909</v>
      </c>
      <c r="AQ237" s="83" t="b">
        <v>1</v>
      </c>
      <c r="AR237" s="83" t="b">
        <v>0</v>
      </c>
      <c r="AS237" s="83" t="b">
        <v>0</v>
      </c>
      <c r="AT237" s="83"/>
      <c r="AU237" s="83">
        <v>0</v>
      </c>
      <c r="AV237" s="83"/>
      <c r="AW237" s="83" t="b">
        <v>0</v>
      </c>
      <c r="AX237" s="83" t="s">
        <v>2807</v>
      </c>
      <c r="AY237" s="88" t="str">
        <f>HYPERLINK("https://twitter.com/geevalarie")</f>
        <v>https://twitter.com/geevalarie</v>
      </c>
      <c r="AZ237" s="83" t="s">
        <v>66</v>
      </c>
      <c r="BA237" s="2"/>
      <c r="BB237" s="3"/>
      <c r="BC237" s="3"/>
      <c r="BD237" s="3"/>
      <c r="BE237" s="3"/>
    </row>
    <row r="238" spans="1:57" x14ac:dyDescent="0.2">
      <c r="A238" s="69" t="s">
        <v>426</v>
      </c>
      <c r="B238" s="70"/>
      <c r="C238" s="70"/>
      <c r="D238" s="71"/>
      <c r="E238" s="73"/>
      <c r="F238" s="109" t="str">
        <f>HYPERLINK("http://pbs.twimg.com/profile_images/1280734022927126529/WgZejjV6_normal.jpg")</f>
        <v>http://pbs.twimg.com/profile_images/1280734022927126529/WgZejjV6_normal.jpg</v>
      </c>
      <c r="G238" s="70"/>
      <c r="H238" s="74"/>
      <c r="I238" s="75"/>
      <c r="J238" s="75"/>
      <c r="K238" s="74" t="s">
        <v>3042</v>
      </c>
      <c r="L238" s="78"/>
      <c r="M238" s="79"/>
      <c r="N238" s="79"/>
      <c r="O238" s="80"/>
      <c r="P238" s="81"/>
      <c r="Q238" s="81"/>
      <c r="R238" s="93"/>
      <c r="S238" s="93"/>
      <c r="T238" s="93"/>
      <c r="U238" s="93"/>
      <c r="V238" s="52"/>
      <c r="W238" s="52"/>
      <c r="X238" s="52"/>
      <c r="Y238" s="52"/>
      <c r="Z238" s="51"/>
      <c r="AA238" s="76"/>
      <c r="AB238" s="76"/>
      <c r="AC238" s="77"/>
      <c r="AD238" s="83" t="s">
        <v>2060</v>
      </c>
      <c r="AE238" s="91" t="s">
        <v>2326</v>
      </c>
      <c r="AF238" s="83">
        <v>3145</v>
      </c>
      <c r="AG238" s="83">
        <v>1643</v>
      </c>
      <c r="AH238" s="83">
        <v>904</v>
      </c>
      <c r="AI238" s="83">
        <v>2003</v>
      </c>
      <c r="AJ238" s="83"/>
      <c r="AK238" s="83" t="s">
        <v>2586</v>
      </c>
      <c r="AL238" s="83" t="s">
        <v>2663</v>
      </c>
      <c r="AM238" s="83"/>
      <c r="AN238" s="83"/>
      <c r="AO238" s="85">
        <v>43852.610185185185</v>
      </c>
      <c r="AP238" s="88" t="str">
        <f>HYPERLINK("https://pbs.twimg.com/profile_banners/1219992741091790848/1594212720")</f>
        <v>https://pbs.twimg.com/profile_banners/1219992741091790848/1594212720</v>
      </c>
      <c r="AQ238" s="83" t="b">
        <v>1</v>
      </c>
      <c r="AR238" s="83" t="b">
        <v>0</v>
      </c>
      <c r="AS238" s="83" t="b">
        <v>0</v>
      </c>
      <c r="AT238" s="83"/>
      <c r="AU238" s="83">
        <v>0</v>
      </c>
      <c r="AV238" s="83"/>
      <c r="AW238" s="83" t="b">
        <v>0</v>
      </c>
      <c r="AX238" s="83" t="s">
        <v>2807</v>
      </c>
      <c r="AY238" s="88" t="str">
        <f>HYPERLINK("https://twitter.com/marianacoldwell")</f>
        <v>https://twitter.com/marianacoldwell</v>
      </c>
      <c r="AZ238" s="83" t="s">
        <v>66</v>
      </c>
      <c r="BA238" s="2"/>
      <c r="BB238" s="3"/>
      <c r="BC238" s="3"/>
      <c r="BD238" s="3"/>
      <c r="BE238" s="3"/>
    </row>
    <row r="239" spans="1:57" x14ac:dyDescent="0.2">
      <c r="A239" s="69" t="s">
        <v>427</v>
      </c>
      <c r="B239" s="70"/>
      <c r="C239" s="70"/>
      <c r="D239" s="71"/>
      <c r="E239" s="73"/>
      <c r="F239" s="109" t="str">
        <f>HYPERLINK("http://pbs.twimg.com/profile_images/1212109221782704128/5sjGxnc1_normal.jpg")</f>
        <v>http://pbs.twimg.com/profile_images/1212109221782704128/5sjGxnc1_normal.jpg</v>
      </c>
      <c r="G239" s="70"/>
      <c r="H239" s="74"/>
      <c r="I239" s="75"/>
      <c r="J239" s="75"/>
      <c r="K239" s="74" t="s">
        <v>3043</v>
      </c>
      <c r="L239" s="78"/>
      <c r="M239" s="79"/>
      <c r="N239" s="79"/>
      <c r="O239" s="80"/>
      <c r="P239" s="81"/>
      <c r="Q239" s="81"/>
      <c r="R239" s="93"/>
      <c r="S239" s="93"/>
      <c r="T239" s="93"/>
      <c r="U239" s="93"/>
      <c r="V239" s="52"/>
      <c r="W239" s="52"/>
      <c r="X239" s="52"/>
      <c r="Y239" s="52"/>
      <c r="Z239" s="51"/>
      <c r="AA239" s="76"/>
      <c r="AB239" s="76"/>
      <c r="AC239" s="77"/>
      <c r="AD239" s="83" t="s">
        <v>2061</v>
      </c>
      <c r="AE239" s="91" t="s">
        <v>2327</v>
      </c>
      <c r="AF239" s="83">
        <v>7202</v>
      </c>
      <c r="AG239" s="83">
        <v>6547</v>
      </c>
      <c r="AH239" s="83">
        <v>4905</v>
      </c>
      <c r="AI239" s="83">
        <v>19321</v>
      </c>
      <c r="AJ239" s="83"/>
      <c r="AK239" s="83" t="s">
        <v>2587</v>
      </c>
      <c r="AL239" s="83" t="s">
        <v>2728</v>
      </c>
      <c r="AM239" s="83"/>
      <c r="AN239" s="83"/>
      <c r="AO239" s="85">
        <v>40009.764143518521</v>
      </c>
      <c r="AP239" s="88" t="str">
        <f>HYPERLINK("https://pbs.twimg.com/profile_banners/57092397/1577823853")</f>
        <v>https://pbs.twimg.com/profile_banners/57092397/1577823853</v>
      </c>
      <c r="AQ239" s="83" t="b">
        <v>1</v>
      </c>
      <c r="AR239" s="83" t="b">
        <v>0</v>
      </c>
      <c r="AS239" s="83" t="b">
        <v>0</v>
      </c>
      <c r="AT239" s="83"/>
      <c r="AU239" s="83">
        <v>1</v>
      </c>
      <c r="AV239" s="88" t="str">
        <f>HYPERLINK("http://abs.twimg.com/images/themes/theme1/bg.png")</f>
        <v>http://abs.twimg.com/images/themes/theme1/bg.png</v>
      </c>
      <c r="AW239" s="83" t="b">
        <v>0</v>
      </c>
      <c r="AX239" s="83" t="s">
        <v>2807</v>
      </c>
      <c r="AY239" s="88" t="str">
        <f>HYPERLINK("https://twitter.com/brettcoldwell")</f>
        <v>https://twitter.com/brettcoldwell</v>
      </c>
      <c r="AZ239" s="83" t="s">
        <v>66</v>
      </c>
      <c r="BA239" s="2"/>
      <c r="BB239" s="3"/>
      <c r="BC239" s="3"/>
      <c r="BD239" s="3"/>
      <c r="BE239" s="3"/>
    </row>
    <row r="240" spans="1:57" x14ac:dyDescent="0.2">
      <c r="A240" s="69" t="s">
        <v>428</v>
      </c>
      <c r="B240" s="70"/>
      <c r="C240" s="70"/>
      <c r="D240" s="71"/>
      <c r="E240" s="73"/>
      <c r="F240" s="109" t="str">
        <f>HYPERLINK("http://pbs.twimg.com/profile_images/1237650497768583168/FZVfDriy_normal.jpg")</f>
        <v>http://pbs.twimg.com/profile_images/1237650497768583168/FZVfDriy_normal.jpg</v>
      </c>
      <c r="G240" s="70"/>
      <c r="H240" s="74"/>
      <c r="I240" s="75"/>
      <c r="J240" s="75"/>
      <c r="K240" s="74" t="s">
        <v>3044</v>
      </c>
      <c r="L240" s="78"/>
      <c r="M240" s="79"/>
      <c r="N240" s="79"/>
      <c r="O240" s="80"/>
      <c r="P240" s="81"/>
      <c r="Q240" s="81"/>
      <c r="R240" s="93"/>
      <c r="S240" s="93"/>
      <c r="T240" s="93"/>
      <c r="U240" s="93"/>
      <c r="V240" s="52"/>
      <c r="W240" s="52"/>
      <c r="X240" s="52"/>
      <c r="Y240" s="52"/>
      <c r="Z240" s="51"/>
      <c r="AA240" s="76"/>
      <c r="AB240" s="76"/>
      <c r="AC240" s="77"/>
      <c r="AD240" s="83" t="s">
        <v>2062</v>
      </c>
      <c r="AE240" s="91" t="s">
        <v>2328</v>
      </c>
      <c r="AF240" s="83">
        <v>557</v>
      </c>
      <c r="AG240" s="83">
        <v>608</v>
      </c>
      <c r="AH240" s="83">
        <v>15743</v>
      </c>
      <c r="AI240" s="83">
        <v>3793</v>
      </c>
      <c r="AJ240" s="83"/>
      <c r="AK240" s="83" t="s">
        <v>2588</v>
      </c>
      <c r="AL240" s="83" t="s">
        <v>2726</v>
      </c>
      <c r="AM240" s="83"/>
      <c r="AN240" s="83"/>
      <c r="AO240" s="85">
        <v>43894.656087962961</v>
      </c>
      <c r="AP240" s="83"/>
      <c r="AQ240" s="83" t="b">
        <v>1</v>
      </c>
      <c r="AR240" s="83" t="b">
        <v>0</v>
      </c>
      <c r="AS240" s="83" t="b">
        <v>1</v>
      </c>
      <c r="AT240" s="83"/>
      <c r="AU240" s="83">
        <v>2</v>
      </c>
      <c r="AV240" s="83"/>
      <c r="AW240" s="83" t="b">
        <v>0</v>
      </c>
      <c r="AX240" s="83" t="s">
        <v>2807</v>
      </c>
      <c r="AY240" s="88" t="str">
        <f>HYPERLINK("https://twitter.com/kwokkwun1")</f>
        <v>https://twitter.com/kwokkwun1</v>
      </c>
      <c r="AZ240" s="83" t="s">
        <v>66</v>
      </c>
      <c r="BA240" s="2"/>
      <c r="BB240" s="3"/>
      <c r="BC240" s="3"/>
      <c r="BD240" s="3"/>
      <c r="BE240" s="3"/>
    </row>
    <row r="241" spans="1:57" x14ac:dyDescent="0.2">
      <c r="A241" s="69" t="s">
        <v>429</v>
      </c>
      <c r="B241" s="70"/>
      <c r="C241" s="70"/>
      <c r="D241" s="71"/>
      <c r="E241" s="73"/>
      <c r="F241" s="109" t="str">
        <f>HYPERLINK("http://pbs.twimg.com/profile_images/792250197833310208/VaQfOJVB_normal.jpg")</f>
        <v>http://pbs.twimg.com/profile_images/792250197833310208/VaQfOJVB_normal.jpg</v>
      </c>
      <c r="G241" s="70"/>
      <c r="H241" s="74"/>
      <c r="I241" s="75"/>
      <c r="J241" s="75"/>
      <c r="K241" s="74" t="s">
        <v>3045</v>
      </c>
      <c r="L241" s="78"/>
      <c r="M241" s="79"/>
      <c r="N241" s="79"/>
      <c r="O241" s="80"/>
      <c r="P241" s="81"/>
      <c r="Q241" s="81"/>
      <c r="R241" s="93"/>
      <c r="S241" s="93"/>
      <c r="T241" s="93"/>
      <c r="U241" s="93"/>
      <c r="V241" s="52"/>
      <c r="W241" s="52"/>
      <c r="X241" s="52"/>
      <c r="Y241" s="52"/>
      <c r="Z241" s="51"/>
      <c r="AA241" s="76"/>
      <c r="AB241" s="76"/>
      <c r="AC241" s="77"/>
      <c r="AD241" s="83" t="s">
        <v>429</v>
      </c>
      <c r="AE241" s="91" t="s">
        <v>2329</v>
      </c>
      <c r="AF241" s="83">
        <v>333</v>
      </c>
      <c r="AG241" s="83">
        <v>311</v>
      </c>
      <c r="AH241" s="83">
        <v>6158</v>
      </c>
      <c r="AI241" s="83">
        <v>17490</v>
      </c>
      <c r="AJ241" s="83"/>
      <c r="AK241" s="83" t="s">
        <v>2589</v>
      </c>
      <c r="AL241" s="83" t="s">
        <v>2781</v>
      </c>
      <c r="AM241" s="83"/>
      <c r="AN241" s="83"/>
      <c r="AO241" s="85">
        <v>40944.345289351855</v>
      </c>
      <c r="AP241" s="88" t="str">
        <f>HYPERLINK("https://pbs.twimg.com/profile_banners/483670239/1477722208")</f>
        <v>https://pbs.twimg.com/profile_banners/483670239/1477722208</v>
      </c>
      <c r="AQ241" s="83" t="b">
        <v>1</v>
      </c>
      <c r="AR241" s="83" t="b">
        <v>0</v>
      </c>
      <c r="AS241" s="83" t="b">
        <v>0</v>
      </c>
      <c r="AT241" s="83"/>
      <c r="AU241" s="83">
        <v>0</v>
      </c>
      <c r="AV241" s="88" t="str">
        <f>HYPERLINK("http://abs.twimg.com/images/themes/theme1/bg.png")</f>
        <v>http://abs.twimg.com/images/themes/theme1/bg.png</v>
      </c>
      <c r="AW241" s="83" t="b">
        <v>0</v>
      </c>
      <c r="AX241" s="83" t="s">
        <v>2807</v>
      </c>
      <c r="AY241" s="88" t="str">
        <f>HYPERLINK("https://twitter.com/kidwithoneshoe")</f>
        <v>https://twitter.com/kidwithoneshoe</v>
      </c>
      <c r="AZ241" s="83" t="s">
        <v>66</v>
      </c>
      <c r="BA241" s="2"/>
      <c r="BB241" s="3"/>
      <c r="BC241" s="3"/>
      <c r="BD241" s="3"/>
      <c r="BE241" s="3"/>
    </row>
    <row r="242" spans="1:57" x14ac:dyDescent="0.2">
      <c r="A242" s="69" t="s">
        <v>430</v>
      </c>
      <c r="B242" s="70"/>
      <c r="C242" s="70"/>
      <c r="D242" s="71"/>
      <c r="E242" s="73"/>
      <c r="F242" s="109" t="str">
        <f>HYPERLINK("http://pbs.twimg.com/profile_images/1261097713862610944/gvlDMd9g_normal.jpg")</f>
        <v>http://pbs.twimg.com/profile_images/1261097713862610944/gvlDMd9g_normal.jpg</v>
      </c>
      <c r="G242" s="70"/>
      <c r="H242" s="74"/>
      <c r="I242" s="75"/>
      <c r="J242" s="75"/>
      <c r="K242" s="74" t="s">
        <v>3046</v>
      </c>
      <c r="L242" s="78"/>
      <c r="M242" s="79"/>
      <c r="N242" s="79"/>
      <c r="O242" s="80"/>
      <c r="P242" s="81"/>
      <c r="Q242" s="81"/>
      <c r="R242" s="93"/>
      <c r="S242" s="93"/>
      <c r="T242" s="93"/>
      <c r="U242" s="93"/>
      <c r="V242" s="52"/>
      <c r="W242" s="52"/>
      <c r="X242" s="52"/>
      <c r="Y242" s="52"/>
      <c r="Z242" s="51"/>
      <c r="AA242" s="76"/>
      <c r="AB242" s="76"/>
      <c r="AC242" s="77"/>
      <c r="AD242" s="83" t="s">
        <v>2063</v>
      </c>
      <c r="AE242" s="91" t="s">
        <v>2330</v>
      </c>
      <c r="AF242" s="83">
        <v>2316</v>
      </c>
      <c r="AG242" s="83">
        <v>2011</v>
      </c>
      <c r="AH242" s="83">
        <v>18361</v>
      </c>
      <c r="AI242" s="83">
        <v>41275</v>
      </c>
      <c r="AJ242" s="83"/>
      <c r="AK242" s="83" t="s">
        <v>2590</v>
      </c>
      <c r="AL242" s="83" t="s">
        <v>2782</v>
      </c>
      <c r="AM242" s="88" t="str">
        <f>HYPERLINK("https://t.co/XTezhNi2Uu")</f>
        <v>https://t.co/XTezhNi2Uu</v>
      </c>
      <c r="AN242" s="83"/>
      <c r="AO242" s="85">
        <v>43214.933599537035</v>
      </c>
      <c r="AP242" s="88" t="str">
        <f>HYPERLINK("https://pbs.twimg.com/profile_banners/988906524595531777/1594335519")</f>
        <v>https://pbs.twimg.com/profile_banners/988906524595531777/1594335519</v>
      </c>
      <c r="AQ242" s="83" t="b">
        <v>0</v>
      </c>
      <c r="AR242" s="83" t="b">
        <v>0</v>
      </c>
      <c r="AS242" s="83" t="b">
        <v>0</v>
      </c>
      <c r="AT242" s="83"/>
      <c r="AU242" s="83">
        <v>3</v>
      </c>
      <c r="AV242" s="88" t="str">
        <f>HYPERLINK("http://abs.twimg.com/images/themes/theme1/bg.png")</f>
        <v>http://abs.twimg.com/images/themes/theme1/bg.png</v>
      </c>
      <c r="AW242" s="83" t="b">
        <v>0</v>
      </c>
      <c r="AX242" s="83" t="s">
        <v>2807</v>
      </c>
      <c r="AY242" s="88" t="str">
        <f>HYPERLINK("https://twitter.com/jadedl")</f>
        <v>https://twitter.com/jadedl</v>
      </c>
      <c r="AZ242" s="83" t="s">
        <v>66</v>
      </c>
      <c r="BA242" s="2"/>
      <c r="BB242" s="3"/>
      <c r="BC242" s="3"/>
      <c r="BD242" s="3"/>
      <c r="BE242" s="3"/>
    </row>
    <row r="243" spans="1:57" x14ac:dyDescent="0.2">
      <c r="A243" s="69" t="s">
        <v>442</v>
      </c>
      <c r="B243" s="70"/>
      <c r="C243" s="70"/>
      <c r="D243" s="71"/>
      <c r="E243" s="73"/>
      <c r="F243" s="109" t="str">
        <f>HYPERLINK("http://pbs.twimg.com/profile_images/1275228658521669632/ddxuDAf2_normal.jpg")</f>
        <v>http://pbs.twimg.com/profile_images/1275228658521669632/ddxuDAf2_normal.jpg</v>
      </c>
      <c r="G243" s="70"/>
      <c r="H243" s="74"/>
      <c r="I243" s="75"/>
      <c r="J243" s="75"/>
      <c r="K243" s="74" t="s">
        <v>3047</v>
      </c>
      <c r="L243" s="78"/>
      <c r="M243" s="79"/>
      <c r="N243" s="79"/>
      <c r="O243" s="80"/>
      <c r="P243" s="81"/>
      <c r="Q243" s="81"/>
      <c r="R243" s="93"/>
      <c r="S243" s="93"/>
      <c r="T243" s="93"/>
      <c r="U243" s="93"/>
      <c r="V243" s="52"/>
      <c r="W243" s="52"/>
      <c r="X243" s="52"/>
      <c r="Y243" s="52"/>
      <c r="Z243" s="51"/>
      <c r="AA243" s="76"/>
      <c r="AB243" s="76"/>
      <c r="AC243" s="77"/>
      <c r="AD243" s="83" t="s">
        <v>2064</v>
      </c>
      <c r="AE243" s="91" t="s">
        <v>2331</v>
      </c>
      <c r="AF243" s="83">
        <v>4997</v>
      </c>
      <c r="AG243" s="83">
        <v>4111</v>
      </c>
      <c r="AH243" s="83">
        <v>112723</v>
      </c>
      <c r="AI243" s="83">
        <v>21105</v>
      </c>
      <c r="AJ243" s="83"/>
      <c r="AK243" s="83" t="s">
        <v>2591</v>
      </c>
      <c r="AL243" s="83"/>
      <c r="AM243" s="83"/>
      <c r="AN243" s="83"/>
      <c r="AO243" s="85">
        <v>40582.159699074073</v>
      </c>
      <c r="AP243" s="88" t="str">
        <f>HYPERLINK("https://pbs.twimg.com/profile_banners/248990711/1435140241")</f>
        <v>https://pbs.twimg.com/profile_banners/248990711/1435140241</v>
      </c>
      <c r="AQ243" s="83" t="b">
        <v>0</v>
      </c>
      <c r="AR243" s="83" t="b">
        <v>0</v>
      </c>
      <c r="AS243" s="83" t="b">
        <v>0</v>
      </c>
      <c r="AT243" s="83"/>
      <c r="AU243" s="83">
        <v>6</v>
      </c>
      <c r="AV243" s="88" t="str">
        <f>HYPERLINK("http://abs.twimg.com/images/themes/theme6/bg.gif")</f>
        <v>http://abs.twimg.com/images/themes/theme6/bg.gif</v>
      </c>
      <c r="AW243" s="83" t="b">
        <v>0</v>
      </c>
      <c r="AX243" s="83" t="s">
        <v>2807</v>
      </c>
      <c r="AY243" s="88" t="str">
        <f>HYPERLINK("https://twitter.com/amotherinusa")</f>
        <v>https://twitter.com/amotherinusa</v>
      </c>
      <c r="AZ243" s="83" t="s">
        <v>66</v>
      </c>
      <c r="BA243" s="2"/>
      <c r="BB243" s="3"/>
      <c r="BC243" s="3"/>
      <c r="BD243" s="3"/>
      <c r="BE243" s="3"/>
    </row>
    <row r="244" spans="1:57" x14ac:dyDescent="0.2">
      <c r="A244" s="69" t="s">
        <v>431</v>
      </c>
      <c r="B244" s="70"/>
      <c r="C244" s="70"/>
      <c r="D244" s="71"/>
      <c r="E244" s="73"/>
      <c r="F244" s="109" t="str">
        <f>HYPERLINK("http://pbs.twimg.com/profile_images/1282132701848494080/R32J5eeB_normal.jpg")</f>
        <v>http://pbs.twimg.com/profile_images/1282132701848494080/R32J5eeB_normal.jpg</v>
      </c>
      <c r="G244" s="70"/>
      <c r="H244" s="74"/>
      <c r="I244" s="75"/>
      <c r="J244" s="75"/>
      <c r="K244" s="74" t="s">
        <v>3048</v>
      </c>
      <c r="L244" s="78"/>
      <c r="M244" s="79"/>
      <c r="N244" s="79"/>
      <c r="O244" s="80"/>
      <c r="P244" s="81"/>
      <c r="Q244" s="81"/>
      <c r="R244" s="93"/>
      <c r="S244" s="93"/>
      <c r="T244" s="93"/>
      <c r="U244" s="93"/>
      <c r="V244" s="52"/>
      <c r="W244" s="52"/>
      <c r="X244" s="52"/>
      <c r="Y244" s="52"/>
      <c r="Z244" s="51"/>
      <c r="AA244" s="76"/>
      <c r="AB244" s="76"/>
      <c r="AC244" s="77"/>
      <c r="AD244" s="83" t="s">
        <v>2065</v>
      </c>
      <c r="AE244" s="91" t="s">
        <v>2332</v>
      </c>
      <c r="AF244" s="83">
        <v>470</v>
      </c>
      <c r="AG244" s="83">
        <v>367</v>
      </c>
      <c r="AH244" s="83">
        <v>4808</v>
      </c>
      <c r="AI244" s="83">
        <v>5009</v>
      </c>
      <c r="AJ244" s="83"/>
      <c r="AK244" s="83"/>
      <c r="AL244" s="83"/>
      <c r="AM244" s="83"/>
      <c r="AN244" s="83"/>
      <c r="AO244" s="85">
        <v>43999.948425925926</v>
      </c>
      <c r="AP244" s="88" t="str">
        <f>HYPERLINK("https://pbs.twimg.com/profile_banners/1273386333302591496/1593283905")</f>
        <v>https://pbs.twimg.com/profile_banners/1273386333302591496/1593283905</v>
      </c>
      <c r="AQ244" s="83" t="b">
        <v>1</v>
      </c>
      <c r="AR244" s="83" t="b">
        <v>0</v>
      </c>
      <c r="AS244" s="83" t="b">
        <v>0</v>
      </c>
      <c r="AT244" s="83"/>
      <c r="AU244" s="83">
        <v>2</v>
      </c>
      <c r="AV244" s="83"/>
      <c r="AW244" s="83" t="b">
        <v>0</v>
      </c>
      <c r="AX244" s="83" t="s">
        <v>2807</v>
      </c>
      <c r="AY244" s="88" t="str">
        <f>HYPERLINK("https://twitter.com/theworldwillkn1")</f>
        <v>https://twitter.com/theworldwillkn1</v>
      </c>
      <c r="AZ244" s="83" t="s">
        <v>66</v>
      </c>
      <c r="BA244" s="2"/>
      <c r="BB244" s="3"/>
      <c r="BC244" s="3"/>
      <c r="BD244" s="3"/>
      <c r="BE244" s="3"/>
    </row>
    <row r="245" spans="1:57" x14ac:dyDescent="0.2">
      <c r="A245" s="69" t="s">
        <v>432</v>
      </c>
      <c r="B245" s="70"/>
      <c r="C245" s="70"/>
      <c r="D245" s="71"/>
      <c r="E245" s="73"/>
      <c r="F245" s="109" t="str">
        <f>HYPERLINK("http://pbs.twimg.com/profile_images/1804263547/mintdotcom_normal.png")</f>
        <v>http://pbs.twimg.com/profile_images/1804263547/mintdotcom_normal.png</v>
      </c>
      <c r="G245" s="70"/>
      <c r="H245" s="74"/>
      <c r="I245" s="75"/>
      <c r="J245" s="75"/>
      <c r="K245" s="74" t="s">
        <v>3049</v>
      </c>
      <c r="L245" s="78"/>
      <c r="M245" s="79"/>
      <c r="N245" s="79"/>
      <c r="O245" s="80"/>
      <c r="P245" s="81"/>
      <c r="Q245" s="81"/>
      <c r="R245" s="93"/>
      <c r="S245" s="93"/>
      <c r="T245" s="93"/>
      <c r="U245" s="93"/>
      <c r="V245" s="52"/>
      <c r="W245" s="52"/>
      <c r="X245" s="52"/>
      <c r="Y245" s="52"/>
      <c r="Z245" s="51"/>
      <c r="AA245" s="76"/>
      <c r="AB245" s="76"/>
      <c r="AC245" s="77"/>
      <c r="AD245" s="83" t="s">
        <v>432</v>
      </c>
      <c r="AE245" s="91" t="s">
        <v>2333</v>
      </c>
      <c r="AF245" s="83">
        <v>5350</v>
      </c>
      <c r="AG245" s="83">
        <v>4982</v>
      </c>
      <c r="AH245" s="83">
        <v>51011</v>
      </c>
      <c r="AI245" s="83">
        <v>8985</v>
      </c>
      <c r="AJ245" s="83"/>
      <c r="AK245" s="83" t="s">
        <v>2592</v>
      </c>
      <c r="AL245" s="83"/>
      <c r="AM245" s="83"/>
      <c r="AN245" s="83"/>
      <c r="AO245" s="85">
        <v>39794.733159722222</v>
      </c>
      <c r="AP245" s="83"/>
      <c r="AQ245" s="83" t="b">
        <v>1</v>
      </c>
      <c r="AR245" s="83" t="b">
        <v>0</v>
      </c>
      <c r="AS245" s="83" t="b">
        <v>0</v>
      </c>
      <c r="AT245" s="83"/>
      <c r="AU245" s="83">
        <v>0</v>
      </c>
      <c r="AV245" s="88" t="str">
        <f>HYPERLINK("http://abs.twimg.com/images/themes/theme1/bg.png")</f>
        <v>http://abs.twimg.com/images/themes/theme1/bg.png</v>
      </c>
      <c r="AW245" s="83" t="b">
        <v>0</v>
      </c>
      <c r="AX245" s="83" t="s">
        <v>2807</v>
      </c>
      <c r="AY245" s="88" t="str">
        <f>HYPERLINK("https://twitter.com/priceys")</f>
        <v>https://twitter.com/priceys</v>
      </c>
      <c r="AZ245" s="83" t="s">
        <v>66</v>
      </c>
      <c r="BA245" s="2"/>
      <c r="BB245" s="3"/>
      <c r="BC245" s="3"/>
      <c r="BD245" s="3"/>
      <c r="BE245" s="3"/>
    </row>
    <row r="246" spans="1:57" x14ac:dyDescent="0.2">
      <c r="A246" s="69" t="s">
        <v>433</v>
      </c>
      <c r="B246" s="70"/>
      <c r="C246" s="70"/>
      <c r="D246" s="71"/>
      <c r="E246" s="73"/>
      <c r="F246" s="109" t="str">
        <f>HYPERLINK("http://pbs.twimg.com/profile_images/1281718729236242433/9fUBuRZx_normal.jpg")</f>
        <v>http://pbs.twimg.com/profile_images/1281718729236242433/9fUBuRZx_normal.jpg</v>
      </c>
      <c r="G246" s="70"/>
      <c r="H246" s="74"/>
      <c r="I246" s="75"/>
      <c r="J246" s="75"/>
      <c r="K246" s="74" t="s">
        <v>3050</v>
      </c>
      <c r="L246" s="78"/>
      <c r="M246" s="79"/>
      <c r="N246" s="79"/>
      <c r="O246" s="80"/>
      <c r="P246" s="81"/>
      <c r="Q246" s="81"/>
      <c r="R246" s="93"/>
      <c r="S246" s="93"/>
      <c r="T246" s="93"/>
      <c r="U246" s="93"/>
      <c r="V246" s="52"/>
      <c r="W246" s="52"/>
      <c r="X246" s="52"/>
      <c r="Y246" s="52"/>
      <c r="Z246" s="51"/>
      <c r="AA246" s="76"/>
      <c r="AB246" s="76"/>
      <c r="AC246" s="77"/>
      <c r="AD246" s="83" t="s">
        <v>2066</v>
      </c>
      <c r="AE246" s="91" t="s">
        <v>2334</v>
      </c>
      <c r="AF246" s="83">
        <v>3548</v>
      </c>
      <c r="AG246" s="83">
        <v>2275</v>
      </c>
      <c r="AH246" s="83">
        <v>5682</v>
      </c>
      <c r="AI246" s="83">
        <v>4481</v>
      </c>
      <c r="AJ246" s="83"/>
      <c r="AK246" s="83" t="s">
        <v>2593</v>
      </c>
      <c r="AL246" s="83"/>
      <c r="AM246" s="88" t="str">
        <f>HYPERLINK("https://t.co/WtHGKB2d5K")</f>
        <v>https://t.co/WtHGKB2d5K</v>
      </c>
      <c r="AN246" s="83"/>
      <c r="AO246" s="85">
        <v>43888.104629629626</v>
      </c>
      <c r="AP246" s="88" t="str">
        <f>HYPERLINK("https://pbs.twimg.com/profile_banners/1232855490021003264/1594420310")</f>
        <v>https://pbs.twimg.com/profile_banners/1232855490021003264/1594420310</v>
      </c>
      <c r="AQ246" s="83" t="b">
        <v>1</v>
      </c>
      <c r="AR246" s="83" t="b">
        <v>0</v>
      </c>
      <c r="AS246" s="83" t="b">
        <v>0</v>
      </c>
      <c r="AT246" s="83"/>
      <c r="AU246" s="83">
        <v>3</v>
      </c>
      <c r="AV246" s="83"/>
      <c r="AW246" s="83" t="b">
        <v>0</v>
      </c>
      <c r="AX246" s="83" t="s">
        <v>2807</v>
      </c>
      <c r="AY246" s="88" t="str">
        <f>HYPERLINK("https://twitter.com/ghettolion17")</f>
        <v>https://twitter.com/ghettolion17</v>
      </c>
      <c r="AZ246" s="83" t="s">
        <v>66</v>
      </c>
      <c r="BA246" s="2"/>
      <c r="BB246" s="3"/>
      <c r="BC246" s="3"/>
      <c r="BD246" s="3"/>
      <c r="BE246" s="3"/>
    </row>
    <row r="247" spans="1:57" x14ac:dyDescent="0.2">
      <c r="A247" s="69" t="s">
        <v>434</v>
      </c>
      <c r="B247" s="70"/>
      <c r="C247" s="70"/>
      <c r="D247" s="71"/>
      <c r="E247" s="73"/>
      <c r="F247" s="109" t="str">
        <f>HYPERLINK("http://pbs.twimg.com/profile_images/1272061399246782464/c0Lk3stV_normal.jpg")</f>
        <v>http://pbs.twimg.com/profile_images/1272061399246782464/c0Lk3stV_normal.jpg</v>
      </c>
      <c r="G247" s="70"/>
      <c r="H247" s="74"/>
      <c r="I247" s="75"/>
      <c r="J247" s="75"/>
      <c r="K247" s="74" t="s">
        <v>3051</v>
      </c>
      <c r="L247" s="78"/>
      <c r="M247" s="79"/>
      <c r="N247" s="79"/>
      <c r="O247" s="80"/>
      <c r="P247" s="81"/>
      <c r="Q247" s="81"/>
      <c r="R247" s="93"/>
      <c r="S247" s="93"/>
      <c r="T247" s="93"/>
      <c r="U247" s="93"/>
      <c r="V247" s="52"/>
      <c r="W247" s="52"/>
      <c r="X247" s="52"/>
      <c r="Y247" s="52"/>
      <c r="Z247" s="51"/>
      <c r="AA247" s="76"/>
      <c r="AB247" s="76"/>
      <c r="AC247" s="77"/>
      <c r="AD247" s="83" t="s">
        <v>2067</v>
      </c>
      <c r="AE247" s="91" t="s">
        <v>2335</v>
      </c>
      <c r="AF247" s="83">
        <v>4980</v>
      </c>
      <c r="AG247" s="83">
        <v>3711</v>
      </c>
      <c r="AH247" s="83">
        <v>89269</v>
      </c>
      <c r="AI247" s="83">
        <v>83433</v>
      </c>
      <c r="AJ247" s="83"/>
      <c r="AK247" s="83" t="s">
        <v>2594</v>
      </c>
      <c r="AL247" s="83" t="s">
        <v>2783</v>
      </c>
      <c r="AM247" s="83"/>
      <c r="AN247" s="83"/>
      <c r="AO247" s="85">
        <v>42424.163958333331</v>
      </c>
      <c r="AP247" s="88" t="str">
        <f>HYPERLINK("https://pbs.twimg.com/profile_banners/702341203078070272/1486084391")</f>
        <v>https://pbs.twimg.com/profile_banners/702341203078070272/1486084391</v>
      </c>
      <c r="AQ247" s="83" t="b">
        <v>1</v>
      </c>
      <c r="AR247" s="83" t="b">
        <v>0</v>
      </c>
      <c r="AS247" s="83" t="b">
        <v>0</v>
      </c>
      <c r="AT247" s="83"/>
      <c r="AU247" s="83">
        <v>50</v>
      </c>
      <c r="AV247" s="83"/>
      <c r="AW247" s="83" t="b">
        <v>0</v>
      </c>
      <c r="AX247" s="83" t="s">
        <v>2807</v>
      </c>
      <c r="AY247" s="88" t="str">
        <f>HYPERLINK("https://twitter.com/milob122")</f>
        <v>https://twitter.com/milob122</v>
      </c>
      <c r="AZ247" s="83" t="s">
        <v>66</v>
      </c>
      <c r="BA247" s="2"/>
      <c r="BB247" s="3"/>
      <c r="BC247" s="3"/>
      <c r="BD247" s="3"/>
      <c r="BE247" s="3"/>
    </row>
    <row r="248" spans="1:57" x14ac:dyDescent="0.2">
      <c r="A248" s="69" t="s">
        <v>443</v>
      </c>
      <c r="B248" s="70"/>
      <c r="C248" s="70"/>
      <c r="D248" s="71"/>
      <c r="E248" s="73"/>
      <c r="F248" s="109" t="str">
        <f>HYPERLINK("http://pbs.twimg.com/profile_images/1281621755501649922/65NjHPMv_normal.jpg")</f>
        <v>http://pbs.twimg.com/profile_images/1281621755501649922/65NjHPMv_normal.jpg</v>
      </c>
      <c r="G248" s="70"/>
      <c r="H248" s="74"/>
      <c r="I248" s="75"/>
      <c r="J248" s="75"/>
      <c r="K248" s="74" t="s">
        <v>3052</v>
      </c>
      <c r="L248" s="78"/>
      <c r="M248" s="79"/>
      <c r="N248" s="79"/>
      <c r="O248" s="80"/>
      <c r="P248" s="81"/>
      <c r="Q248" s="81"/>
      <c r="R248" s="93"/>
      <c r="S248" s="93"/>
      <c r="T248" s="93"/>
      <c r="U248" s="93"/>
      <c r="V248" s="52"/>
      <c r="W248" s="52"/>
      <c r="X248" s="52"/>
      <c r="Y248" s="52"/>
      <c r="Z248" s="51"/>
      <c r="AA248" s="76"/>
      <c r="AB248" s="76"/>
      <c r="AC248" s="77"/>
      <c r="AD248" s="83" t="s">
        <v>2068</v>
      </c>
      <c r="AE248" s="91" t="s">
        <v>2336</v>
      </c>
      <c r="AF248" s="83">
        <v>9782</v>
      </c>
      <c r="AG248" s="83">
        <v>11259</v>
      </c>
      <c r="AH248" s="83">
        <v>39153</v>
      </c>
      <c r="AI248" s="83">
        <v>28274</v>
      </c>
      <c r="AJ248" s="83"/>
      <c r="AK248" s="83" t="s">
        <v>2595</v>
      </c>
      <c r="AL248" s="83" t="s">
        <v>2784</v>
      </c>
      <c r="AM248" s="83"/>
      <c r="AN248" s="83"/>
      <c r="AO248" s="85">
        <v>43445.749861111108</v>
      </c>
      <c r="AP248" s="88" t="str">
        <f>HYPERLINK("https://pbs.twimg.com/profile_banners/1072551536071327744/1594397414")</f>
        <v>https://pbs.twimg.com/profile_banners/1072551536071327744/1594397414</v>
      </c>
      <c r="AQ248" s="83" t="b">
        <v>1</v>
      </c>
      <c r="AR248" s="83" t="b">
        <v>0</v>
      </c>
      <c r="AS248" s="83" t="b">
        <v>0</v>
      </c>
      <c r="AT248" s="83"/>
      <c r="AU248" s="83">
        <v>26</v>
      </c>
      <c r="AV248" s="83"/>
      <c r="AW248" s="83" t="b">
        <v>0</v>
      </c>
      <c r="AX248" s="83" t="s">
        <v>2807</v>
      </c>
      <c r="AY248" s="88" t="str">
        <f>HYPERLINK("https://twitter.com/timetowakeupsw1")</f>
        <v>https://twitter.com/timetowakeupsw1</v>
      </c>
      <c r="AZ248" s="83" t="s">
        <v>66</v>
      </c>
      <c r="BA248" s="2"/>
      <c r="BB248" s="3"/>
      <c r="BC248" s="3"/>
      <c r="BD248" s="3"/>
      <c r="BE248" s="3"/>
    </row>
    <row r="249" spans="1:57" x14ac:dyDescent="0.2">
      <c r="A249" s="69" t="s">
        <v>485</v>
      </c>
      <c r="B249" s="70"/>
      <c r="C249" s="70"/>
      <c r="D249" s="71"/>
      <c r="E249" s="73"/>
      <c r="F249" s="109" t="str">
        <f>HYPERLINK("http://pbs.twimg.com/profile_images/1226991892669325314/y0K_QuFt_normal.jpg")</f>
        <v>http://pbs.twimg.com/profile_images/1226991892669325314/y0K_QuFt_normal.jpg</v>
      </c>
      <c r="G249" s="70"/>
      <c r="H249" s="74"/>
      <c r="I249" s="75"/>
      <c r="J249" s="75"/>
      <c r="K249" s="74" t="s">
        <v>3053</v>
      </c>
      <c r="L249" s="78"/>
      <c r="M249" s="79"/>
      <c r="N249" s="79"/>
      <c r="O249" s="80"/>
      <c r="P249" s="81"/>
      <c r="Q249" s="81"/>
      <c r="R249" s="93"/>
      <c r="S249" s="93"/>
      <c r="T249" s="93"/>
      <c r="U249" s="93"/>
      <c r="V249" s="52"/>
      <c r="W249" s="52"/>
      <c r="X249" s="52"/>
      <c r="Y249" s="52"/>
      <c r="Z249" s="51"/>
      <c r="AA249" s="76"/>
      <c r="AB249" s="76"/>
      <c r="AC249" s="77"/>
      <c r="AD249" s="83" t="s">
        <v>2069</v>
      </c>
      <c r="AE249" s="91" t="s">
        <v>1743</v>
      </c>
      <c r="AF249" s="83">
        <v>1217</v>
      </c>
      <c r="AG249" s="83">
        <v>1208</v>
      </c>
      <c r="AH249" s="83">
        <v>22064</v>
      </c>
      <c r="AI249" s="83">
        <v>44083</v>
      </c>
      <c r="AJ249" s="83"/>
      <c r="AK249" s="83" t="s">
        <v>2596</v>
      </c>
      <c r="AL249" s="83" t="s">
        <v>2785</v>
      </c>
      <c r="AM249" s="83"/>
      <c r="AN249" s="83"/>
      <c r="AO249" s="85">
        <v>41713.107939814814</v>
      </c>
      <c r="AP249" s="88" t="str">
        <f>HYPERLINK("https://pbs.twimg.com/profile_banners/2390240286/1581372691")</f>
        <v>https://pbs.twimg.com/profile_banners/2390240286/1581372691</v>
      </c>
      <c r="AQ249" s="83" t="b">
        <v>1</v>
      </c>
      <c r="AR249" s="83" t="b">
        <v>0</v>
      </c>
      <c r="AS249" s="83" t="b">
        <v>1</v>
      </c>
      <c r="AT249" s="83"/>
      <c r="AU249" s="83">
        <v>1</v>
      </c>
      <c r="AV249" s="88" t="str">
        <f>HYPERLINK("http://abs.twimg.com/images/themes/theme1/bg.png")</f>
        <v>http://abs.twimg.com/images/themes/theme1/bg.png</v>
      </c>
      <c r="AW249" s="83" t="b">
        <v>0</v>
      </c>
      <c r="AX249" s="83" t="s">
        <v>2807</v>
      </c>
      <c r="AY249" s="88" t="str">
        <f>HYPERLINK("https://twitter.com/bman304")</f>
        <v>https://twitter.com/bman304</v>
      </c>
      <c r="AZ249" s="83" t="s">
        <v>65</v>
      </c>
      <c r="BA249" s="2"/>
      <c r="BB249" s="3"/>
      <c r="BC249" s="3"/>
      <c r="BD249" s="3"/>
      <c r="BE249" s="3"/>
    </row>
    <row r="250" spans="1:57" x14ac:dyDescent="0.2">
      <c r="A250" s="69" t="s">
        <v>435</v>
      </c>
      <c r="B250" s="70"/>
      <c r="C250" s="70"/>
      <c r="D250" s="71"/>
      <c r="E250" s="73"/>
      <c r="F250" s="109" t="str">
        <f>HYPERLINK("http://pbs.twimg.com/profile_images/1123240614454128640/nm9tbzvb_normal.jpg")</f>
        <v>http://pbs.twimg.com/profile_images/1123240614454128640/nm9tbzvb_normal.jpg</v>
      </c>
      <c r="G250" s="70"/>
      <c r="H250" s="74"/>
      <c r="I250" s="75"/>
      <c r="J250" s="75"/>
      <c r="K250" s="74" t="s">
        <v>3054</v>
      </c>
      <c r="L250" s="78"/>
      <c r="M250" s="79"/>
      <c r="N250" s="79"/>
      <c r="O250" s="80"/>
      <c r="P250" s="81"/>
      <c r="Q250" s="81"/>
      <c r="R250" s="93"/>
      <c r="S250" s="93"/>
      <c r="T250" s="93"/>
      <c r="U250" s="93"/>
      <c r="V250" s="52"/>
      <c r="W250" s="52"/>
      <c r="X250" s="52"/>
      <c r="Y250" s="52"/>
      <c r="Z250" s="51"/>
      <c r="AA250" s="76"/>
      <c r="AB250" s="76"/>
      <c r="AC250" s="77"/>
      <c r="AD250" s="83" t="s">
        <v>2070</v>
      </c>
      <c r="AE250" s="91" t="s">
        <v>2337</v>
      </c>
      <c r="AF250" s="83">
        <v>1715</v>
      </c>
      <c r="AG250" s="83">
        <v>861</v>
      </c>
      <c r="AH250" s="83">
        <v>60759</v>
      </c>
      <c r="AI250" s="83">
        <v>166111</v>
      </c>
      <c r="AJ250" s="83"/>
      <c r="AK250" s="83" t="s">
        <v>2597</v>
      </c>
      <c r="AL250" s="83" t="s">
        <v>2786</v>
      </c>
      <c r="AM250" s="88" t="str">
        <f>HYPERLINK("https://t.co/JDgFBtxSYw")</f>
        <v>https://t.co/JDgFBtxSYw</v>
      </c>
      <c r="AN250" s="83"/>
      <c r="AO250" s="85">
        <v>42484.306597222225</v>
      </c>
      <c r="AP250" s="88" t="str">
        <f>HYPERLINK("https://pbs.twimg.com/profile_banners/724136167218671616/1544360529")</f>
        <v>https://pbs.twimg.com/profile_banners/724136167218671616/1544360529</v>
      </c>
      <c r="AQ250" s="83" t="b">
        <v>0</v>
      </c>
      <c r="AR250" s="83" t="b">
        <v>0</v>
      </c>
      <c r="AS250" s="83" t="b">
        <v>0</v>
      </c>
      <c r="AT250" s="83"/>
      <c r="AU250" s="83">
        <v>16</v>
      </c>
      <c r="AV250" s="88" t="str">
        <f>HYPERLINK("http://abs.twimg.com/images/themes/theme19/bg.gif")</f>
        <v>http://abs.twimg.com/images/themes/theme19/bg.gif</v>
      </c>
      <c r="AW250" s="83" t="b">
        <v>0</v>
      </c>
      <c r="AX250" s="83" t="s">
        <v>2807</v>
      </c>
      <c r="AY250" s="88" t="str">
        <f>HYPERLINK("https://twitter.com/ucmkpni")</f>
        <v>https://twitter.com/ucmkpni</v>
      </c>
      <c r="AZ250" s="83" t="s">
        <v>66</v>
      </c>
      <c r="BA250" s="2"/>
      <c r="BB250" s="3"/>
      <c r="BC250" s="3"/>
      <c r="BD250" s="3"/>
      <c r="BE250" s="3"/>
    </row>
    <row r="251" spans="1:57" x14ac:dyDescent="0.2">
      <c r="A251" s="69" t="s">
        <v>436</v>
      </c>
      <c r="B251" s="70"/>
      <c r="C251" s="70"/>
      <c r="D251" s="71"/>
      <c r="E251" s="73"/>
      <c r="F251" s="109" t="str">
        <f>HYPERLINK("http://pbs.twimg.com/profile_images/1138281193714044929/gYfMYMEB_normal.jpg")</f>
        <v>http://pbs.twimg.com/profile_images/1138281193714044929/gYfMYMEB_normal.jpg</v>
      </c>
      <c r="G251" s="70"/>
      <c r="H251" s="74"/>
      <c r="I251" s="75"/>
      <c r="J251" s="75"/>
      <c r="K251" s="74" t="s">
        <v>3055</v>
      </c>
      <c r="L251" s="78"/>
      <c r="M251" s="79"/>
      <c r="N251" s="79"/>
      <c r="O251" s="80"/>
      <c r="P251" s="81"/>
      <c r="Q251" s="81"/>
      <c r="R251" s="93"/>
      <c r="S251" s="93"/>
      <c r="T251" s="93"/>
      <c r="U251" s="93"/>
      <c r="V251" s="52"/>
      <c r="W251" s="52"/>
      <c r="X251" s="52"/>
      <c r="Y251" s="52"/>
      <c r="Z251" s="51"/>
      <c r="AA251" s="76"/>
      <c r="AB251" s="76"/>
      <c r="AC251" s="77"/>
      <c r="AD251" s="83" t="s">
        <v>2071</v>
      </c>
      <c r="AE251" s="91" t="s">
        <v>2338</v>
      </c>
      <c r="AF251" s="83">
        <v>143</v>
      </c>
      <c r="AG251" s="83">
        <v>52</v>
      </c>
      <c r="AH251" s="83">
        <v>4447</v>
      </c>
      <c r="AI251" s="83">
        <v>7302</v>
      </c>
      <c r="AJ251" s="83"/>
      <c r="AK251" s="83" t="s">
        <v>2598</v>
      </c>
      <c r="AL251" s="83"/>
      <c r="AM251" s="83"/>
      <c r="AN251" s="83"/>
      <c r="AO251" s="85">
        <v>42745.641643518517</v>
      </c>
      <c r="AP251" s="88" t="str">
        <f>HYPERLINK("https://pbs.twimg.com/profile_banners/818840812704280577/1581503730")</f>
        <v>https://pbs.twimg.com/profile_banners/818840812704280577/1581503730</v>
      </c>
      <c r="AQ251" s="83" t="b">
        <v>1</v>
      </c>
      <c r="AR251" s="83" t="b">
        <v>0</v>
      </c>
      <c r="AS251" s="83" t="b">
        <v>0</v>
      </c>
      <c r="AT251" s="83"/>
      <c r="AU251" s="83">
        <v>1</v>
      </c>
      <c r="AV251" s="83"/>
      <c r="AW251" s="83" t="b">
        <v>0</v>
      </c>
      <c r="AX251" s="83" t="s">
        <v>2807</v>
      </c>
      <c r="AY251" s="88" t="str">
        <f>HYPERLINK("https://twitter.com/waiwai5321")</f>
        <v>https://twitter.com/waiwai5321</v>
      </c>
      <c r="AZ251" s="83" t="s">
        <v>66</v>
      </c>
      <c r="BA251" s="2"/>
      <c r="BB251" s="3"/>
      <c r="BC251" s="3"/>
      <c r="BD251" s="3"/>
      <c r="BE251" s="3"/>
    </row>
    <row r="252" spans="1:57" x14ac:dyDescent="0.2">
      <c r="A252" s="69" t="s">
        <v>437</v>
      </c>
      <c r="B252" s="70"/>
      <c r="C252" s="70"/>
      <c r="D252" s="71"/>
      <c r="E252" s="73"/>
      <c r="F252" s="109" t="str">
        <f>HYPERLINK("http://pbs.twimg.com/profile_images/1236014406581932032/yIU0ba_8_normal.jpg")</f>
        <v>http://pbs.twimg.com/profile_images/1236014406581932032/yIU0ba_8_normal.jpg</v>
      </c>
      <c r="G252" s="70"/>
      <c r="H252" s="74"/>
      <c r="I252" s="75"/>
      <c r="J252" s="75"/>
      <c r="K252" s="74" t="s">
        <v>3056</v>
      </c>
      <c r="L252" s="78"/>
      <c r="M252" s="79"/>
      <c r="N252" s="79"/>
      <c r="O252" s="80"/>
      <c r="P252" s="81"/>
      <c r="Q252" s="81"/>
      <c r="R252" s="93"/>
      <c r="S252" s="93"/>
      <c r="T252" s="93"/>
      <c r="U252" s="93"/>
      <c r="V252" s="52"/>
      <c r="W252" s="52"/>
      <c r="X252" s="52"/>
      <c r="Y252" s="52"/>
      <c r="Z252" s="51"/>
      <c r="AA252" s="76"/>
      <c r="AB252" s="76"/>
      <c r="AC252" s="77"/>
      <c r="AD252" s="83" t="s">
        <v>2072</v>
      </c>
      <c r="AE252" s="91" t="s">
        <v>2339</v>
      </c>
      <c r="AF252" s="83">
        <v>550</v>
      </c>
      <c r="AG252" s="83">
        <v>405</v>
      </c>
      <c r="AH252" s="83">
        <v>1113</v>
      </c>
      <c r="AI252" s="83">
        <v>5190</v>
      </c>
      <c r="AJ252" s="83"/>
      <c r="AK252" s="83" t="s">
        <v>2599</v>
      </c>
      <c r="AL252" s="83"/>
      <c r="AM252" s="83"/>
      <c r="AN252" s="83"/>
      <c r="AO252" s="85">
        <v>43273.154895833337</v>
      </c>
      <c r="AP252" s="88" t="str">
        <f>HYPERLINK("https://pbs.twimg.com/profile_banners/1010005216001867776/1571396886")</f>
        <v>https://pbs.twimg.com/profile_banners/1010005216001867776/1571396886</v>
      </c>
      <c r="AQ252" s="83" t="b">
        <v>1</v>
      </c>
      <c r="AR252" s="83" t="b">
        <v>0</v>
      </c>
      <c r="AS252" s="83" t="b">
        <v>1</v>
      </c>
      <c r="AT252" s="83"/>
      <c r="AU252" s="83">
        <v>1</v>
      </c>
      <c r="AV252" s="83"/>
      <c r="AW252" s="83" t="b">
        <v>0</v>
      </c>
      <c r="AX252" s="83" t="s">
        <v>2807</v>
      </c>
      <c r="AY252" s="88" t="str">
        <f>HYPERLINK("https://twitter.com/roassotakasan")</f>
        <v>https://twitter.com/roassotakasan</v>
      </c>
      <c r="AZ252" s="83" t="s">
        <v>66</v>
      </c>
      <c r="BA252" s="2"/>
      <c r="BB252" s="3"/>
      <c r="BC252" s="3"/>
      <c r="BD252" s="3"/>
      <c r="BE252" s="3"/>
    </row>
    <row r="253" spans="1:57" x14ac:dyDescent="0.2">
      <c r="A253" s="69" t="s">
        <v>438</v>
      </c>
      <c r="B253" s="70"/>
      <c r="C253" s="70"/>
      <c r="D253" s="71"/>
      <c r="E253" s="73"/>
      <c r="F253" s="109" t="str">
        <f>HYPERLINK("http://pbs.twimg.com/profile_images/1272724355919671296/zu0e3sIQ_normal.png")</f>
        <v>http://pbs.twimg.com/profile_images/1272724355919671296/zu0e3sIQ_normal.png</v>
      </c>
      <c r="G253" s="70"/>
      <c r="H253" s="74"/>
      <c r="I253" s="75"/>
      <c r="J253" s="75"/>
      <c r="K253" s="74" t="s">
        <v>3057</v>
      </c>
      <c r="L253" s="78"/>
      <c r="M253" s="79"/>
      <c r="N253" s="79"/>
      <c r="O253" s="80"/>
      <c r="P253" s="81"/>
      <c r="Q253" s="81"/>
      <c r="R253" s="93"/>
      <c r="S253" s="93"/>
      <c r="T253" s="93"/>
      <c r="U253" s="93"/>
      <c r="V253" s="52"/>
      <c r="W253" s="52"/>
      <c r="X253" s="52"/>
      <c r="Y253" s="52"/>
      <c r="Z253" s="51"/>
      <c r="AA253" s="76"/>
      <c r="AB253" s="76"/>
      <c r="AC253" s="77"/>
      <c r="AD253" s="83" t="s">
        <v>2073</v>
      </c>
      <c r="AE253" s="91" t="s">
        <v>2340</v>
      </c>
      <c r="AF253" s="83">
        <v>19</v>
      </c>
      <c r="AG253" s="83">
        <v>15</v>
      </c>
      <c r="AH253" s="83">
        <v>244</v>
      </c>
      <c r="AI253" s="83">
        <v>213</v>
      </c>
      <c r="AJ253" s="83"/>
      <c r="AK253" s="83" t="s">
        <v>2600</v>
      </c>
      <c r="AL253" s="83" t="s">
        <v>2787</v>
      </c>
      <c r="AM253" s="83"/>
      <c r="AN253" s="83"/>
      <c r="AO253" s="85">
        <v>41820.600208333337</v>
      </c>
      <c r="AP253" s="88" t="str">
        <f>HYPERLINK("https://pbs.twimg.com/profile_banners/2596458805/1569738333")</f>
        <v>https://pbs.twimg.com/profile_banners/2596458805/1569738333</v>
      </c>
      <c r="AQ253" s="83" t="b">
        <v>1</v>
      </c>
      <c r="AR253" s="83" t="b">
        <v>0</v>
      </c>
      <c r="AS253" s="83" t="b">
        <v>0</v>
      </c>
      <c r="AT253" s="83"/>
      <c r="AU253" s="83">
        <v>0</v>
      </c>
      <c r="AV253" s="88" t="str">
        <f>HYPERLINK("http://abs.twimg.com/images/themes/theme1/bg.png")</f>
        <v>http://abs.twimg.com/images/themes/theme1/bg.png</v>
      </c>
      <c r="AW253" s="83" t="b">
        <v>0</v>
      </c>
      <c r="AX253" s="83" t="s">
        <v>2807</v>
      </c>
      <c r="AY253" s="88" t="str">
        <f>HYPERLINK("https://twitter.com/ueji24")</f>
        <v>https://twitter.com/ueji24</v>
      </c>
      <c r="AZ253" s="83" t="s">
        <v>66</v>
      </c>
      <c r="BA253" s="2"/>
      <c r="BB253" s="3"/>
      <c r="BC253" s="3"/>
      <c r="BD253" s="3"/>
      <c r="BE253" s="3"/>
    </row>
    <row r="254" spans="1:57" x14ac:dyDescent="0.2">
      <c r="A254" s="69" t="s">
        <v>441</v>
      </c>
      <c r="B254" s="70"/>
      <c r="C254" s="70"/>
      <c r="D254" s="71"/>
      <c r="E254" s="73"/>
      <c r="F254" s="109" t="str">
        <f>HYPERLINK("http://pbs.twimg.com/profile_images/1280395155636391936/CmSWPZ3s_normal.jpg")</f>
        <v>http://pbs.twimg.com/profile_images/1280395155636391936/CmSWPZ3s_normal.jpg</v>
      </c>
      <c r="G254" s="70"/>
      <c r="H254" s="74"/>
      <c r="I254" s="75"/>
      <c r="J254" s="75"/>
      <c r="K254" s="74" t="s">
        <v>3058</v>
      </c>
      <c r="L254" s="78"/>
      <c r="M254" s="79"/>
      <c r="N254" s="79"/>
      <c r="O254" s="80"/>
      <c r="P254" s="81"/>
      <c r="Q254" s="81"/>
      <c r="R254" s="93"/>
      <c r="S254" s="93"/>
      <c r="T254" s="93"/>
      <c r="U254" s="93"/>
      <c r="V254" s="52"/>
      <c r="W254" s="52"/>
      <c r="X254" s="52"/>
      <c r="Y254" s="52"/>
      <c r="Z254" s="51"/>
      <c r="AA254" s="76"/>
      <c r="AB254" s="76"/>
      <c r="AC254" s="77"/>
      <c r="AD254" s="83" t="s">
        <v>2074</v>
      </c>
      <c r="AE254" s="91" t="s">
        <v>2341</v>
      </c>
      <c r="AF254" s="83">
        <v>8052</v>
      </c>
      <c r="AG254" s="83">
        <v>7770</v>
      </c>
      <c r="AH254" s="83">
        <v>22880</v>
      </c>
      <c r="AI254" s="83">
        <v>32332</v>
      </c>
      <c r="AJ254" s="83"/>
      <c r="AK254" s="83" t="s">
        <v>2601</v>
      </c>
      <c r="AL254" s="83" t="s">
        <v>2788</v>
      </c>
      <c r="AM254" s="83"/>
      <c r="AN254" s="83"/>
      <c r="AO254" s="85">
        <v>43670.328414351854</v>
      </c>
      <c r="AP254" s="88" t="str">
        <f>HYPERLINK("https://pbs.twimg.com/profile_banners/1153936081726738434/1593892858")</f>
        <v>https://pbs.twimg.com/profile_banners/1153936081726738434/1593892858</v>
      </c>
      <c r="AQ254" s="83" t="b">
        <v>1</v>
      </c>
      <c r="AR254" s="83" t="b">
        <v>0</v>
      </c>
      <c r="AS254" s="83" t="b">
        <v>0</v>
      </c>
      <c r="AT254" s="83"/>
      <c r="AU254" s="83">
        <v>1</v>
      </c>
      <c r="AV254" s="83"/>
      <c r="AW254" s="83" t="b">
        <v>0</v>
      </c>
      <c r="AX254" s="83" t="s">
        <v>2807</v>
      </c>
      <c r="AY254" s="88" t="str">
        <f>HYPERLINK("https://twitter.com/roxyspencer11")</f>
        <v>https://twitter.com/roxyspencer11</v>
      </c>
      <c r="AZ254" s="83" t="s">
        <v>66</v>
      </c>
      <c r="BA254" s="2"/>
      <c r="BB254" s="3"/>
      <c r="BC254" s="3"/>
      <c r="BD254" s="3"/>
      <c r="BE254" s="3"/>
    </row>
    <row r="255" spans="1:57" x14ac:dyDescent="0.2">
      <c r="A255" s="69" t="s">
        <v>486</v>
      </c>
      <c r="B255" s="70"/>
      <c r="C255" s="70"/>
      <c r="D255" s="71"/>
      <c r="E255" s="73"/>
      <c r="F255" s="109" t="str">
        <f>HYPERLINK("http://pbs.twimg.com/profile_images/1224110387173318656/-QTabkA-_normal.jpg")</f>
        <v>http://pbs.twimg.com/profile_images/1224110387173318656/-QTabkA-_normal.jpg</v>
      </c>
      <c r="G255" s="70"/>
      <c r="H255" s="74"/>
      <c r="I255" s="75"/>
      <c r="J255" s="75"/>
      <c r="K255" s="74" t="s">
        <v>3059</v>
      </c>
      <c r="L255" s="78"/>
      <c r="M255" s="79"/>
      <c r="N255" s="79"/>
      <c r="O255" s="80"/>
      <c r="P255" s="81"/>
      <c r="Q255" s="81"/>
      <c r="R255" s="93"/>
      <c r="S255" s="93"/>
      <c r="T255" s="93"/>
      <c r="U255" s="93"/>
      <c r="V255" s="52"/>
      <c r="W255" s="52"/>
      <c r="X255" s="52"/>
      <c r="Y255" s="52"/>
      <c r="Z255" s="51"/>
      <c r="AA255" s="76"/>
      <c r="AB255" s="76"/>
      <c r="AC255" s="77"/>
      <c r="AD255" s="83" t="s">
        <v>2075</v>
      </c>
      <c r="AE255" s="91" t="s">
        <v>2342</v>
      </c>
      <c r="AF255" s="83">
        <v>57412</v>
      </c>
      <c r="AG255" s="83">
        <v>57469</v>
      </c>
      <c r="AH255" s="83">
        <v>250019</v>
      </c>
      <c r="AI255" s="83">
        <v>36011</v>
      </c>
      <c r="AJ255" s="83"/>
      <c r="AK255" s="83" t="s">
        <v>2602</v>
      </c>
      <c r="AL255" s="83" t="s">
        <v>2789</v>
      </c>
      <c r="AM255" s="83"/>
      <c r="AN255" s="83"/>
      <c r="AO255" s="85">
        <v>42309.101678240739</v>
      </c>
      <c r="AP255" s="88" t="str">
        <f>HYPERLINK("https://pbs.twimg.com/profile_banners/4086750921/1579994608")</f>
        <v>https://pbs.twimg.com/profile_banners/4086750921/1579994608</v>
      </c>
      <c r="AQ255" s="83" t="b">
        <v>1</v>
      </c>
      <c r="AR255" s="83" t="b">
        <v>0</v>
      </c>
      <c r="AS255" s="83" t="b">
        <v>0</v>
      </c>
      <c r="AT255" s="83"/>
      <c r="AU255" s="83">
        <v>3</v>
      </c>
      <c r="AV255" s="88" t="str">
        <f>HYPERLINK("http://abs.twimg.com/images/themes/theme1/bg.png")</f>
        <v>http://abs.twimg.com/images/themes/theme1/bg.png</v>
      </c>
      <c r="AW255" s="83" t="b">
        <v>0</v>
      </c>
      <c r="AX255" s="83" t="s">
        <v>2807</v>
      </c>
      <c r="AY255" s="88" t="str">
        <f>HYPERLINK("https://twitter.com/maga2arights")</f>
        <v>https://twitter.com/maga2arights</v>
      </c>
      <c r="AZ255" s="83" t="s">
        <v>65</v>
      </c>
      <c r="BA255" s="2"/>
      <c r="BB255" s="3"/>
      <c r="BC255" s="3"/>
      <c r="BD255" s="3"/>
      <c r="BE255" s="3"/>
    </row>
    <row r="256" spans="1:57" x14ac:dyDescent="0.2">
      <c r="A256" s="69" t="s">
        <v>487</v>
      </c>
      <c r="B256" s="70"/>
      <c r="C256" s="70"/>
      <c r="D256" s="71"/>
      <c r="E256" s="73"/>
      <c r="F256" s="109" t="str">
        <f>HYPERLINK("http://pbs.twimg.com/profile_images/1016483322166251520/DlxvQ1e5_normal.jpg")</f>
        <v>http://pbs.twimg.com/profile_images/1016483322166251520/DlxvQ1e5_normal.jpg</v>
      </c>
      <c r="G256" s="70"/>
      <c r="H256" s="74"/>
      <c r="I256" s="75"/>
      <c r="J256" s="75"/>
      <c r="K256" s="74" t="s">
        <v>3060</v>
      </c>
      <c r="L256" s="78"/>
      <c r="M256" s="79"/>
      <c r="N256" s="79"/>
      <c r="O256" s="80"/>
      <c r="P256" s="81"/>
      <c r="Q256" s="81"/>
      <c r="R256" s="93"/>
      <c r="S256" s="93"/>
      <c r="T256" s="93"/>
      <c r="U256" s="93"/>
      <c r="V256" s="52"/>
      <c r="W256" s="52"/>
      <c r="X256" s="52"/>
      <c r="Y256" s="52"/>
      <c r="Z256" s="51"/>
      <c r="AA256" s="76"/>
      <c r="AB256" s="76"/>
      <c r="AC256" s="77"/>
      <c r="AD256" s="83" t="s">
        <v>2076</v>
      </c>
      <c r="AE256" s="91" t="s">
        <v>1741</v>
      </c>
      <c r="AF256" s="83">
        <v>55982</v>
      </c>
      <c r="AG256" s="83">
        <v>289075</v>
      </c>
      <c r="AH256" s="83">
        <v>160241</v>
      </c>
      <c r="AI256" s="83">
        <v>18895</v>
      </c>
      <c r="AJ256" s="83"/>
      <c r="AK256" s="83" t="s">
        <v>2603</v>
      </c>
      <c r="AL256" s="83" t="s">
        <v>2790</v>
      </c>
      <c r="AM256" s="83"/>
      <c r="AN256" s="83"/>
      <c r="AO256" s="85">
        <v>40633.996030092596</v>
      </c>
      <c r="AP256" s="88" t="str">
        <f>HYPERLINK("https://pbs.twimg.com/profile_banners/275276082/1562307247")</f>
        <v>https://pbs.twimg.com/profile_banners/275276082/1562307247</v>
      </c>
      <c r="AQ256" s="83" t="b">
        <v>0</v>
      </c>
      <c r="AR256" s="83" t="b">
        <v>0</v>
      </c>
      <c r="AS256" s="83" t="b">
        <v>0</v>
      </c>
      <c r="AT256" s="83"/>
      <c r="AU256" s="83">
        <v>1422</v>
      </c>
      <c r="AV256" s="88" t="str">
        <f>HYPERLINK("http://abs.twimg.com/images/themes/theme1/bg.png")</f>
        <v>http://abs.twimg.com/images/themes/theme1/bg.png</v>
      </c>
      <c r="AW256" s="83" t="b">
        <v>0</v>
      </c>
      <c r="AX256" s="83" t="s">
        <v>2807</v>
      </c>
      <c r="AY256" s="88" t="str">
        <f>HYPERLINK("https://twitter.com/thomas1774paine")</f>
        <v>https://twitter.com/thomas1774paine</v>
      </c>
      <c r="AZ256" s="83" t="s">
        <v>65</v>
      </c>
      <c r="BA256" s="2"/>
      <c r="BB256" s="3"/>
      <c r="BC256" s="3"/>
      <c r="BD256" s="3"/>
      <c r="BE256" s="3"/>
    </row>
    <row r="257" spans="1:57" x14ac:dyDescent="0.2">
      <c r="A257" s="69" t="s">
        <v>488</v>
      </c>
      <c r="B257" s="70"/>
      <c r="C257" s="70"/>
      <c r="D257" s="71"/>
      <c r="E257" s="73"/>
      <c r="F257" s="109" t="str">
        <f>HYPERLINK("http://pbs.twimg.com/profile_images/1152296028831387648/Jpy-dRmB_normal.jpg")</f>
        <v>http://pbs.twimg.com/profile_images/1152296028831387648/Jpy-dRmB_normal.jpg</v>
      </c>
      <c r="G257" s="70"/>
      <c r="H257" s="74"/>
      <c r="I257" s="75"/>
      <c r="J257" s="75"/>
      <c r="K257" s="74" t="s">
        <v>3061</v>
      </c>
      <c r="L257" s="78"/>
      <c r="M257" s="79"/>
      <c r="N257" s="79"/>
      <c r="O257" s="80"/>
      <c r="P257" s="81"/>
      <c r="Q257" s="81"/>
      <c r="R257" s="93"/>
      <c r="S257" s="93"/>
      <c r="T257" s="93"/>
      <c r="U257" s="93"/>
      <c r="V257" s="52"/>
      <c r="W257" s="52"/>
      <c r="X257" s="52"/>
      <c r="Y257" s="52"/>
      <c r="Z257" s="51"/>
      <c r="AA257" s="76"/>
      <c r="AB257" s="76"/>
      <c r="AC257" s="77"/>
      <c r="AD257" s="83" t="s">
        <v>2077</v>
      </c>
      <c r="AE257" s="91" t="s">
        <v>2343</v>
      </c>
      <c r="AF257" s="83">
        <v>27257</v>
      </c>
      <c r="AG257" s="83">
        <v>26217</v>
      </c>
      <c r="AH257" s="83">
        <v>28851</v>
      </c>
      <c r="AI257" s="83">
        <v>42933</v>
      </c>
      <c r="AJ257" s="83"/>
      <c r="AK257" s="83" t="s">
        <v>2604</v>
      </c>
      <c r="AL257" s="83" t="s">
        <v>2791</v>
      </c>
      <c r="AM257" s="83"/>
      <c r="AN257" s="83"/>
      <c r="AO257" s="85">
        <v>40032.974965277775</v>
      </c>
      <c r="AP257" s="88" t="str">
        <f>HYPERLINK("https://pbs.twimg.com/profile_banners/63852360/1587167425")</f>
        <v>https://pbs.twimg.com/profile_banners/63852360/1587167425</v>
      </c>
      <c r="AQ257" s="83" t="b">
        <v>0</v>
      </c>
      <c r="AR257" s="83" t="b">
        <v>0</v>
      </c>
      <c r="AS257" s="83" t="b">
        <v>0</v>
      </c>
      <c r="AT257" s="83"/>
      <c r="AU257" s="83">
        <v>7</v>
      </c>
      <c r="AV257" s="88" t="str">
        <f>HYPERLINK("http://abs.twimg.com/images/themes/theme5/bg.gif")</f>
        <v>http://abs.twimg.com/images/themes/theme5/bg.gif</v>
      </c>
      <c r="AW257" s="83" t="b">
        <v>0</v>
      </c>
      <c r="AX257" s="83" t="s">
        <v>2807</v>
      </c>
      <c r="AY257" s="88" t="str">
        <f>HYPERLINK("https://twitter.com/s00nergirl")</f>
        <v>https://twitter.com/s00nergirl</v>
      </c>
      <c r="AZ257" s="83" t="s">
        <v>65</v>
      </c>
      <c r="BA257" s="2"/>
      <c r="BB257" s="3"/>
      <c r="BC257" s="3"/>
      <c r="BD257" s="3"/>
      <c r="BE257" s="3"/>
    </row>
    <row r="258" spans="1:57" x14ac:dyDescent="0.2">
      <c r="A258" s="69" t="s">
        <v>489</v>
      </c>
      <c r="B258" s="70"/>
      <c r="C258" s="70"/>
      <c r="D258" s="71"/>
      <c r="E258" s="73"/>
      <c r="F258" s="109" t="str">
        <f>HYPERLINK("http://pbs.twimg.com/profile_images/1278035225029890050/JsISz0Dr_normal.jpg")</f>
        <v>http://pbs.twimg.com/profile_images/1278035225029890050/JsISz0Dr_normal.jpg</v>
      </c>
      <c r="G258" s="70"/>
      <c r="H258" s="74"/>
      <c r="I258" s="75"/>
      <c r="J258" s="75"/>
      <c r="K258" s="74" t="s">
        <v>3062</v>
      </c>
      <c r="L258" s="78"/>
      <c r="M258" s="79"/>
      <c r="N258" s="79"/>
      <c r="O258" s="80"/>
      <c r="P258" s="81"/>
      <c r="Q258" s="81"/>
      <c r="R258" s="93"/>
      <c r="S258" s="93"/>
      <c r="T258" s="93"/>
      <c r="U258" s="93"/>
      <c r="V258" s="52"/>
      <c r="W258" s="52"/>
      <c r="X258" s="52"/>
      <c r="Y258" s="52"/>
      <c r="Z258" s="51"/>
      <c r="AA258" s="76"/>
      <c r="AB258" s="76"/>
      <c r="AC258" s="77"/>
      <c r="AD258" s="83" t="s">
        <v>2078</v>
      </c>
      <c r="AE258" s="91" t="s">
        <v>1742</v>
      </c>
      <c r="AF258" s="83">
        <v>5990</v>
      </c>
      <c r="AG258" s="83">
        <v>22266</v>
      </c>
      <c r="AH258" s="83">
        <v>826</v>
      </c>
      <c r="AI258" s="83">
        <v>13596</v>
      </c>
      <c r="AJ258" s="83"/>
      <c r="AK258" s="83" t="s">
        <v>2605</v>
      </c>
      <c r="AL258" s="83" t="s">
        <v>2792</v>
      </c>
      <c r="AM258" s="88" t="str">
        <f>HYPERLINK("https://t.co/e4qDO5GFM9")</f>
        <v>https://t.co/e4qDO5GFM9</v>
      </c>
      <c r="AN258" s="83"/>
      <c r="AO258" s="85">
        <v>43573.829236111109</v>
      </c>
      <c r="AP258" s="88" t="str">
        <f>HYPERLINK("https://pbs.twimg.com/profile_banners/1118965948692799489/1592618712")</f>
        <v>https://pbs.twimg.com/profile_banners/1118965948692799489/1592618712</v>
      </c>
      <c r="AQ258" s="83" t="b">
        <v>1</v>
      </c>
      <c r="AR258" s="83" t="b">
        <v>0</v>
      </c>
      <c r="AS258" s="83" t="b">
        <v>0</v>
      </c>
      <c r="AT258" s="83"/>
      <c r="AU258" s="83">
        <v>32</v>
      </c>
      <c r="AV258" s="83"/>
      <c r="AW258" s="83" t="b">
        <v>0</v>
      </c>
      <c r="AX258" s="83" t="s">
        <v>2807</v>
      </c>
      <c r="AY258" s="88" t="str">
        <f>HYPERLINK("https://twitter.com/reaidonaltrump_")</f>
        <v>https://twitter.com/reaidonaltrump_</v>
      </c>
      <c r="AZ258" s="83" t="s">
        <v>65</v>
      </c>
      <c r="BA258" s="2"/>
      <c r="BB258" s="3"/>
      <c r="BC258" s="3"/>
      <c r="BD258" s="3"/>
      <c r="BE258" s="3"/>
    </row>
    <row r="259" spans="1:57" x14ac:dyDescent="0.2">
      <c r="A259" s="69" t="s">
        <v>490</v>
      </c>
      <c r="B259" s="70"/>
      <c r="C259" s="70"/>
      <c r="D259" s="71"/>
      <c r="E259" s="73"/>
      <c r="F259" s="109" t="str">
        <f>HYPERLINK("http://pbs.twimg.com/profile_images/1279418507298574336/wjFk1aEW_normal.jpg")</f>
        <v>http://pbs.twimg.com/profile_images/1279418507298574336/wjFk1aEW_normal.jpg</v>
      </c>
      <c r="G259" s="70"/>
      <c r="H259" s="74"/>
      <c r="I259" s="75"/>
      <c r="J259" s="75"/>
      <c r="K259" s="74" t="s">
        <v>3063</v>
      </c>
      <c r="L259" s="78"/>
      <c r="M259" s="79"/>
      <c r="N259" s="79"/>
      <c r="O259" s="80"/>
      <c r="P259" s="81"/>
      <c r="Q259" s="81"/>
      <c r="R259" s="93"/>
      <c r="S259" s="93"/>
      <c r="T259" s="93"/>
      <c r="U259" s="93"/>
      <c r="V259" s="52"/>
      <c r="W259" s="52"/>
      <c r="X259" s="52"/>
      <c r="Y259" s="52"/>
      <c r="Z259" s="51"/>
      <c r="AA259" s="76"/>
      <c r="AB259" s="76"/>
      <c r="AC259" s="77"/>
      <c r="AD259" s="83" t="s">
        <v>2079</v>
      </c>
      <c r="AE259" s="91" t="s">
        <v>2344</v>
      </c>
      <c r="AF259" s="83">
        <v>64002</v>
      </c>
      <c r="AG259" s="83">
        <v>72390</v>
      </c>
      <c r="AH259" s="83">
        <v>241589</v>
      </c>
      <c r="AI259" s="83">
        <v>104677</v>
      </c>
      <c r="AJ259" s="83"/>
      <c r="AK259" s="83" t="s">
        <v>2606</v>
      </c>
      <c r="AL259" s="83" t="s">
        <v>2793</v>
      </c>
      <c r="AM259" s="88" t="str">
        <f>HYPERLINK("https://t.co/j8ZRHzXxs5")</f>
        <v>https://t.co/j8ZRHzXxs5</v>
      </c>
      <c r="AN259" s="83"/>
      <c r="AO259" s="85">
        <v>42581.019525462965</v>
      </c>
      <c r="AP259" s="88" t="str">
        <f>HYPERLINK("https://pbs.twimg.com/profile_banners/759183757152780288/1593998756")</f>
        <v>https://pbs.twimg.com/profile_banners/759183757152780288/1593998756</v>
      </c>
      <c r="AQ259" s="83" t="b">
        <v>1</v>
      </c>
      <c r="AR259" s="83" t="b">
        <v>0</v>
      </c>
      <c r="AS259" s="83" t="b">
        <v>0</v>
      </c>
      <c r="AT259" s="83"/>
      <c r="AU259" s="83">
        <v>9</v>
      </c>
      <c r="AV259" s="83"/>
      <c r="AW259" s="83" t="b">
        <v>0</v>
      </c>
      <c r="AX259" s="83" t="s">
        <v>2807</v>
      </c>
      <c r="AY259" s="88" t="str">
        <f>HYPERLINK("https://twitter.com/phoenxrisng1776")</f>
        <v>https://twitter.com/phoenxrisng1776</v>
      </c>
      <c r="AZ259" s="83" t="s">
        <v>65</v>
      </c>
      <c r="BA259" s="2"/>
      <c r="BB259" s="3"/>
      <c r="BC259" s="3"/>
      <c r="BD259" s="3"/>
      <c r="BE259" s="3"/>
    </row>
    <row r="260" spans="1:57" x14ac:dyDescent="0.2">
      <c r="A260" s="69" t="s">
        <v>491</v>
      </c>
      <c r="B260" s="70"/>
      <c r="C260" s="70"/>
      <c r="D260" s="71"/>
      <c r="E260" s="73"/>
      <c r="F260" s="109" t="str">
        <f>HYPERLINK("http://pbs.twimg.com/profile_images/1266253119840636928/WXAsxPK8_normal.jpg")</f>
        <v>http://pbs.twimg.com/profile_images/1266253119840636928/WXAsxPK8_normal.jpg</v>
      </c>
      <c r="G260" s="70"/>
      <c r="H260" s="74"/>
      <c r="I260" s="75"/>
      <c r="J260" s="75"/>
      <c r="K260" s="74" t="s">
        <v>3064</v>
      </c>
      <c r="L260" s="78"/>
      <c r="M260" s="79"/>
      <c r="N260" s="79"/>
      <c r="O260" s="80"/>
      <c r="P260" s="81"/>
      <c r="Q260" s="81"/>
      <c r="R260" s="93"/>
      <c r="S260" s="93"/>
      <c r="T260" s="93"/>
      <c r="U260" s="93"/>
      <c r="V260" s="52"/>
      <c r="W260" s="52"/>
      <c r="X260" s="52"/>
      <c r="Y260" s="52"/>
      <c r="Z260" s="51"/>
      <c r="AA260" s="76"/>
      <c r="AB260" s="76"/>
      <c r="AC260" s="77"/>
      <c r="AD260" s="83" t="s">
        <v>2080</v>
      </c>
      <c r="AE260" s="91" t="s">
        <v>1744</v>
      </c>
      <c r="AF260" s="83">
        <v>63143</v>
      </c>
      <c r="AG260" s="83">
        <v>68692</v>
      </c>
      <c r="AH260" s="83">
        <v>198666</v>
      </c>
      <c r="AI260" s="83">
        <v>50179</v>
      </c>
      <c r="AJ260" s="83"/>
      <c r="AK260" s="83" t="s">
        <v>2607</v>
      </c>
      <c r="AL260" s="83" t="s">
        <v>2726</v>
      </c>
      <c r="AM260" s="83"/>
      <c r="AN260" s="83"/>
      <c r="AO260" s="85">
        <v>41108.812928240739</v>
      </c>
      <c r="AP260" s="88" t="str">
        <f>HYPERLINK("https://pbs.twimg.com/profile_banners/703649400/1590734321")</f>
        <v>https://pbs.twimg.com/profile_banners/703649400/1590734321</v>
      </c>
      <c r="AQ260" s="83" t="b">
        <v>0</v>
      </c>
      <c r="AR260" s="83" t="b">
        <v>0</v>
      </c>
      <c r="AS260" s="83" t="b">
        <v>0</v>
      </c>
      <c r="AT260" s="83"/>
      <c r="AU260" s="83">
        <v>28</v>
      </c>
      <c r="AV260" s="88" t="str">
        <f t="shared" ref="AV260:AV266" si="2">HYPERLINK("http://abs.twimg.com/images/themes/theme1/bg.png")</f>
        <v>http://abs.twimg.com/images/themes/theme1/bg.png</v>
      </c>
      <c r="AW260" s="83" t="b">
        <v>0</v>
      </c>
      <c r="AX260" s="83" t="s">
        <v>2807</v>
      </c>
      <c r="AY260" s="88" t="str">
        <f>HYPERLINK("https://twitter.com/yc727usa")</f>
        <v>https://twitter.com/yc727usa</v>
      </c>
      <c r="AZ260" s="83" t="s">
        <v>65</v>
      </c>
      <c r="BA260" s="2"/>
      <c r="BB260" s="3"/>
      <c r="BC260" s="3"/>
      <c r="BD260" s="3"/>
      <c r="BE260" s="3"/>
    </row>
    <row r="261" spans="1:57" x14ac:dyDescent="0.2">
      <c r="A261" s="69" t="s">
        <v>492</v>
      </c>
      <c r="B261" s="70"/>
      <c r="C261" s="70"/>
      <c r="D261" s="71"/>
      <c r="E261" s="73"/>
      <c r="F261" s="109" t="str">
        <f>HYPERLINK("http://pbs.twimg.com/profile_images/1263047161194954752/mEEWUVu7_normal.jpg")</f>
        <v>http://pbs.twimg.com/profile_images/1263047161194954752/mEEWUVu7_normal.jpg</v>
      </c>
      <c r="G261" s="70"/>
      <c r="H261" s="74"/>
      <c r="I261" s="75"/>
      <c r="J261" s="75"/>
      <c r="K261" s="74" t="s">
        <v>3065</v>
      </c>
      <c r="L261" s="78"/>
      <c r="M261" s="79"/>
      <c r="N261" s="79"/>
      <c r="O261" s="80"/>
      <c r="P261" s="81"/>
      <c r="Q261" s="81"/>
      <c r="R261" s="93"/>
      <c r="S261" s="93"/>
      <c r="T261" s="93"/>
      <c r="U261" s="93"/>
      <c r="V261" s="52"/>
      <c r="W261" s="52"/>
      <c r="X261" s="52"/>
      <c r="Y261" s="52"/>
      <c r="Z261" s="51"/>
      <c r="AA261" s="76"/>
      <c r="AB261" s="76"/>
      <c r="AC261" s="77"/>
      <c r="AD261" s="83" t="s">
        <v>2081</v>
      </c>
      <c r="AE261" s="91" t="s">
        <v>1745</v>
      </c>
      <c r="AF261" s="83">
        <v>17641</v>
      </c>
      <c r="AG261" s="83">
        <v>19425</v>
      </c>
      <c r="AH261" s="83">
        <v>18604</v>
      </c>
      <c r="AI261" s="83">
        <v>8378</v>
      </c>
      <c r="AJ261" s="83"/>
      <c r="AK261" s="83" t="s">
        <v>2608</v>
      </c>
      <c r="AL261" s="83" t="s">
        <v>2663</v>
      </c>
      <c r="AM261" s="83"/>
      <c r="AN261" s="83"/>
      <c r="AO261" s="85">
        <v>41528.083391203705</v>
      </c>
      <c r="AP261" s="88" t="str">
        <f>HYPERLINK("https://pbs.twimg.com/profile_banners/1853047993/1578167473")</f>
        <v>https://pbs.twimg.com/profile_banners/1853047993/1578167473</v>
      </c>
      <c r="AQ261" s="83" t="b">
        <v>1</v>
      </c>
      <c r="AR261" s="83" t="b">
        <v>0</v>
      </c>
      <c r="AS261" s="83" t="b">
        <v>0</v>
      </c>
      <c r="AT261" s="83"/>
      <c r="AU261" s="83">
        <v>1</v>
      </c>
      <c r="AV261" s="88" t="str">
        <f t="shared" si="2"/>
        <v>http://abs.twimg.com/images/themes/theme1/bg.png</v>
      </c>
      <c r="AW261" s="83" t="b">
        <v>0</v>
      </c>
      <c r="AX261" s="83" t="s">
        <v>2807</v>
      </c>
      <c r="AY261" s="88" t="str">
        <f>HYPERLINK("https://twitter.com/rubble30")</f>
        <v>https://twitter.com/rubble30</v>
      </c>
      <c r="AZ261" s="83" t="s">
        <v>65</v>
      </c>
      <c r="BA261" s="2"/>
      <c r="BB261" s="3"/>
      <c r="BC261" s="3"/>
      <c r="BD261" s="3"/>
      <c r="BE261" s="3"/>
    </row>
    <row r="262" spans="1:57" x14ac:dyDescent="0.2">
      <c r="A262" s="69" t="s">
        <v>493</v>
      </c>
      <c r="B262" s="70"/>
      <c r="C262" s="70"/>
      <c r="D262" s="71"/>
      <c r="E262" s="73"/>
      <c r="F262" s="109" t="str">
        <f>HYPERLINK("http://pbs.twimg.com/profile_images/1006206129842638848/KtlJdkp4_normal.jpg")</f>
        <v>http://pbs.twimg.com/profile_images/1006206129842638848/KtlJdkp4_normal.jpg</v>
      </c>
      <c r="G262" s="70"/>
      <c r="H262" s="74"/>
      <c r="I262" s="75"/>
      <c r="J262" s="75"/>
      <c r="K262" s="74" t="s">
        <v>3066</v>
      </c>
      <c r="L262" s="78"/>
      <c r="M262" s="79"/>
      <c r="N262" s="79"/>
      <c r="O262" s="80"/>
      <c r="P262" s="81"/>
      <c r="Q262" s="81"/>
      <c r="R262" s="93"/>
      <c r="S262" s="93"/>
      <c r="T262" s="93"/>
      <c r="U262" s="93"/>
      <c r="V262" s="52"/>
      <c r="W262" s="52"/>
      <c r="X262" s="52"/>
      <c r="Y262" s="52"/>
      <c r="Z262" s="51"/>
      <c r="AA262" s="76"/>
      <c r="AB262" s="76"/>
      <c r="AC262" s="77"/>
      <c r="AD262" s="83" t="s">
        <v>2082</v>
      </c>
      <c r="AE262" s="91" t="s">
        <v>1746</v>
      </c>
      <c r="AF262" s="83">
        <v>30479</v>
      </c>
      <c r="AG262" s="83">
        <v>32206</v>
      </c>
      <c r="AH262" s="83">
        <v>409308</v>
      </c>
      <c r="AI262" s="83">
        <v>282650</v>
      </c>
      <c r="AJ262" s="83"/>
      <c r="AK262" s="83" t="s">
        <v>2609</v>
      </c>
      <c r="AL262" s="83" t="s">
        <v>2794</v>
      </c>
      <c r="AM262" s="83"/>
      <c r="AN262" s="83"/>
      <c r="AO262" s="85">
        <v>41837.712893518517</v>
      </c>
      <c r="AP262" s="88" t="str">
        <f>HYPERLINK("https://pbs.twimg.com/profile_banners/2654356639/1528733483")</f>
        <v>https://pbs.twimg.com/profile_banners/2654356639/1528733483</v>
      </c>
      <c r="AQ262" s="83" t="b">
        <v>0</v>
      </c>
      <c r="AR262" s="83" t="b">
        <v>0</v>
      </c>
      <c r="AS262" s="83" t="b">
        <v>0</v>
      </c>
      <c r="AT262" s="83"/>
      <c r="AU262" s="83">
        <v>2</v>
      </c>
      <c r="AV262" s="88" t="str">
        <f t="shared" si="2"/>
        <v>http://abs.twimg.com/images/themes/theme1/bg.png</v>
      </c>
      <c r="AW262" s="83" t="b">
        <v>0</v>
      </c>
      <c r="AX262" s="83" t="s">
        <v>2807</v>
      </c>
      <c r="AY262" s="88" t="str">
        <f>HYPERLINK("https://twitter.com/totemranch613")</f>
        <v>https://twitter.com/totemranch613</v>
      </c>
      <c r="AZ262" s="83" t="s">
        <v>65</v>
      </c>
      <c r="BA262" s="2"/>
      <c r="BB262" s="3"/>
      <c r="BC262" s="3"/>
      <c r="BD262" s="3"/>
      <c r="BE262" s="3"/>
    </row>
    <row r="263" spans="1:57" x14ac:dyDescent="0.2">
      <c r="A263" s="69" t="s">
        <v>444</v>
      </c>
      <c r="B263" s="70"/>
      <c r="C263" s="70"/>
      <c r="D263" s="71"/>
      <c r="E263" s="73"/>
      <c r="F263" s="109" t="str">
        <f>HYPERLINK("http://pbs.twimg.com/profile_images/1181352938637148160/cF7Z089F_normal.jpg")</f>
        <v>http://pbs.twimg.com/profile_images/1181352938637148160/cF7Z089F_normal.jpg</v>
      </c>
      <c r="G263" s="70"/>
      <c r="H263" s="74"/>
      <c r="I263" s="75"/>
      <c r="J263" s="75"/>
      <c r="K263" s="74" t="s">
        <v>3067</v>
      </c>
      <c r="L263" s="78"/>
      <c r="M263" s="79"/>
      <c r="N263" s="79"/>
      <c r="O263" s="80"/>
      <c r="P263" s="81"/>
      <c r="Q263" s="81"/>
      <c r="R263" s="93"/>
      <c r="S263" s="93"/>
      <c r="T263" s="93"/>
      <c r="U263" s="93"/>
      <c r="V263" s="52"/>
      <c r="W263" s="52"/>
      <c r="X263" s="52"/>
      <c r="Y263" s="52"/>
      <c r="Z263" s="51"/>
      <c r="AA263" s="76"/>
      <c r="AB263" s="76"/>
      <c r="AC263" s="77"/>
      <c r="AD263" s="83" t="s">
        <v>2083</v>
      </c>
      <c r="AE263" s="91" t="s">
        <v>2345</v>
      </c>
      <c r="AF263" s="83">
        <v>62959</v>
      </c>
      <c r="AG263" s="83">
        <v>66058</v>
      </c>
      <c r="AH263" s="83">
        <v>163294</v>
      </c>
      <c r="AI263" s="83">
        <v>309856</v>
      </c>
      <c r="AJ263" s="83"/>
      <c r="AK263" s="83" t="s">
        <v>2610</v>
      </c>
      <c r="AL263" s="83" t="s">
        <v>2795</v>
      </c>
      <c r="AM263" s="88" t="str">
        <f>HYPERLINK("https://t.co/x4oiFKQOOc")</f>
        <v>https://t.co/x4oiFKQOOc</v>
      </c>
      <c r="AN263" s="83"/>
      <c r="AO263" s="85">
        <v>41470.248356481483</v>
      </c>
      <c r="AP263" s="88" t="str">
        <f>HYPERLINK("https://pbs.twimg.com/profile_banners/1595125903/1532624406")</f>
        <v>https://pbs.twimg.com/profile_banners/1595125903/1532624406</v>
      </c>
      <c r="AQ263" s="83" t="b">
        <v>1</v>
      </c>
      <c r="AR263" s="83" t="b">
        <v>0</v>
      </c>
      <c r="AS263" s="83" t="b">
        <v>1</v>
      </c>
      <c r="AT263" s="83"/>
      <c r="AU263" s="83">
        <v>13</v>
      </c>
      <c r="AV263" s="88" t="str">
        <f t="shared" si="2"/>
        <v>http://abs.twimg.com/images/themes/theme1/bg.png</v>
      </c>
      <c r="AW263" s="83" t="b">
        <v>0</v>
      </c>
      <c r="AX263" s="83" t="s">
        <v>2807</v>
      </c>
      <c r="AY263" s="88" t="str">
        <f>HYPERLINK("https://twitter.com/fedagentmark")</f>
        <v>https://twitter.com/fedagentmark</v>
      </c>
      <c r="AZ263" s="83" t="s">
        <v>66</v>
      </c>
      <c r="BA263" s="2"/>
      <c r="BB263" s="3"/>
      <c r="BC263" s="3"/>
      <c r="BD263" s="3"/>
      <c r="BE263" s="3"/>
    </row>
    <row r="264" spans="1:57" x14ac:dyDescent="0.2">
      <c r="A264" s="69" t="s">
        <v>445</v>
      </c>
      <c r="B264" s="70"/>
      <c r="C264" s="70"/>
      <c r="D264" s="71"/>
      <c r="E264" s="73"/>
      <c r="F264" s="109" t="str">
        <f>HYPERLINK("http://pbs.twimg.com/profile_images/1076563867780739074/C_C0RTpb_normal.jpg")</f>
        <v>http://pbs.twimg.com/profile_images/1076563867780739074/C_C0RTpb_normal.jpg</v>
      </c>
      <c r="G264" s="70"/>
      <c r="H264" s="74"/>
      <c r="I264" s="75"/>
      <c r="J264" s="75"/>
      <c r="K264" s="74" t="s">
        <v>3068</v>
      </c>
      <c r="L264" s="78"/>
      <c r="M264" s="79"/>
      <c r="N264" s="79"/>
      <c r="O264" s="80"/>
      <c r="P264" s="81"/>
      <c r="Q264" s="81"/>
      <c r="R264" s="93"/>
      <c r="S264" s="93"/>
      <c r="T264" s="93"/>
      <c r="U264" s="93"/>
      <c r="V264" s="52"/>
      <c r="W264" s="52"/>
      <c r="X264" s="52"/>
      <c r="Y264" s="52"/>
      <c r="Z264" s="51"/>
      <c r="AA264" s="76"/>
      <c r="AB264" s="76"/>
      <c r="AC264" s="77"/>
      <c r="AD264" s="83" t="s">
        <v>2084</v>
      </c>
      <c r="AE264" s="91" t="s">
        <v>2346</v>
      </c>
      <c r="AF264" s="83">
        <v>785</v>
      </c>
      <c r="AG264" s="83">
        <v>228</v>
      </c>
      <c r="AH264" s="83">
        <v>897</v>
      </c>
      <c r="AI264" s="83">
        <v>1181</v>
      </c>
      <c r="AJ264" s="83"/>
      <c r="AK264" s="83"/>
      <c r="AL264" s="83"/>
      <c r="AM264" s="83"/>
      <c r="AN264" s="83"/>
      <c r="AO264" s="85">
        <v>41617.264687499999</v>
      </c>
      <c r="AP264" s="83"/>
      <c r="AQ264" s="83" t="b">
        <v>1</v>
      </c>
      <c r="AR264" s="83" t="b">
        <v>0</v>
      </c>
      <c r="AS264" s="83" t="b">
        <v>0</v>
      </c>
      <c r="AT264" s="83"/>
      <c r="AU264" s="83">
        <v>0</v>
      </c>
      <c r="AV264" s="88" t="str">
        <f t="shared" si="2"/>
        <v>http://abs.twimg.com/images/themes/theme1/bg.png</v>
      </c>
      <c r="AW264" s="83" t="b">
        <v>0</v>
      </c>
      <c r="AX264" s="83" t="s">
        <v>2807</v>
      </c>
      <c r="AY264" s="88" t="str">
        <f>HYPERLINK("https://twitter.com/diaper_dan")</f>
        <v>https://twitter.com/diaper_dan</v>
      </c>
      <c r="AZ264" s="83" t="s">
        <v>66</v>
      </c>
      <c r="BA264" s="2"/>
      <c r="BB264" s="3"/>
      <c r="BC264" s="3"/>
      <c r="BD264" s="3"/>
      <c r="BE264" s="3"/>
    </row>
    <row r="265" spans="1:57" x14ac:dyDescent="0.2">
      <c r="A265" s="69" t="s">
        <v>446</v>
      </c>
      <c r="B265" s="70"/>
      <c r="C265" s="70"/>
      <c r="D265" s="71"/>
      <c r="E265" s="73"/>
      <c r="F265" s="109" t="str">
        <f>HYPERLINK("http://pbs.twimg.com/profile_images/3153830054/0ef08539b1652632613d80a41894712f_normal.jpeg")</f>
        <v>http://pbs.twimg.com/profile_images/3153830054/0ef08539b1652632613d80a41894712f_normal.jpeg</v>
      </c>
      <c r="G265" s="70"/>
      <c r="H265" s="74"/>
      <c r="I265" s="75"/>
      <c r="J265" s="75"/>
      <c r="K265" s="74" t="s">
        <v>3069</v>
      </c>
      <c r="L265" s="78"/>
      <c r="M265" s="79"/>
      <c r="N265" s="79"/>
      <c r="O265" s="80"/>
      <c r="P265" s="81"/>
      <c r="Q265" s="81"/>
      <c r="R265" s="93"/>
      <c r="S265" s="93"/>
      <c r="T265" s="93"/>
      <c r="U265" s="93"/>
      <c r="V265" s="52"/>
      <c r="W265" s="52"/>
      <c r="X265" s="52"/>
      <c r="Y265" s="52"/>
      <c r="Z265" s="51"/>
      <c r="AA265" s="76"/>
      <c r="AB265" s="76"/>
      <c r="AC265" s="77"/>
      <c r="AD265" s="83" t="s">
        <v>2085</v>
      </c>
      <c r="AE265" s="91" t="s">
        <v>2347</v>
      </c>
      <c r="AF265" s="83">
        <v>8091</v>
      </c>
      <c r="AG265" s="83">
        <v>8978</v>
      </c>
      <c r="AH265" s="83">
        <v>220197</v>
      </c>
      <c r="AI265" s="83">
        <v>106682</v>
      </c>
      <c r="AJ265" s="83"/>
      <c r="AK265" s="83" t="s">
        <v>2611</v>
      </c>
      <c r="AL265" s="83" t="s">
        <v>2796</v>
      </c>
      <c r="AM265" s="83"/>
      <c r="AN265" s="83"/>
      <c r="AO265" s="85">
        <v>41276.980300925927</v>
      </c>
      <c r="AP265" s="88" t="str">
        <f>HYPERLINK("https://pbs.twimg.com/profile_banners/1056388153/1593011172")</f>
        <v>https://pbs.twimg.com/profile_banners/1056388153/1593011172</v>
      </c>
      <c r="AQ265" s="83" t="b">
        <v>1</v>
      </c>
      <c r="AR265" s="83" t="b">
        <v>0</v>
      </c>
      <c r="AS265" s="83" t="b">
        <v>0</v>
      </c>
      <c r="AT265" s="83"/>
      <c r="AU265" s="83">
        <v>162</v>
      </c>
      <c r="AV265" s="88" t="str">
        <f t="shared" si="2"/>
        <v>http://abs.twimg.com/images/themes/theme1/bg.png</v>
      </c>
      <c r="AW265" s="83" t="b">
        <v>0</v>
      </c>
      <c r="AX265" s="83" t="s">
        <v>2807</v>
      </c>
      <c r="AY265" s="88" t="str">
        <f>HYPERLINK("https://twitter.com/davhalter")</f>
        <v>https://twitter.com/davhalter</v>
      </c>
      <c r="AZ265" s="83" t="s">
        <v>66</v>
      </c>
      <c r="BA265" s="2"/>
      <c r="BB265" s="3"/>
      <c r="BC265" s="3"/>
      <c r="BD265" s="3"/>
      <c r="BE265" s="3"/>
    </row>
    <row r="266" spans="1:57" x14ac:dyDescent="0.2">
      <c r="A266" s="69" t="s">
        <v>494</v>
      </c>
      <c r="B266" s="70"/>
      <c r="C266" s="70"/>
      <c r="D266" s="71"/>
      <c r="E266" s="73"/>
      <c r="F266" s="109" t="str">
        <f>HYPERLINK("http://pbs.twimg.com/profile_images/1079780911418408961/YXYAye0S_normal.jpg")</f>
        <v>http://pbs.twimg.com/profile_images/1079780911418408961/YXYAye0S_normal.jpg</v>
      </c>
      <c r="G266" s="70"/>
      <c r="H266" s="74"/>
      <c r="I266" s="75"/>
      <c r="J266" s="75"/>
      <c r="K266" s="74" t="s">
        <v>3070</v>
      </c>
      <c r="L266" s="78"/>
      <c r="M266" s="79"/>
      <c r="N266" s="79"/>
      <c r="O266" s="80"/>
      <c r="P266" s="81"/>
      <c r="Q266" s="81"/>
      <c r="R266" s="93"/>
      <c r="S266" s="93"/>
      <c r="T266" s="93"/>
      <c r="U266" s="93"/>
      <c r="V266" s="52"/>
      <c r="W266" s="52"/>
      <c r="X266" s="52"/>
      <c r="Y266" s="52"/>
      <c r="Z266" s="51"/>
      <c r="AA266" s="76"/>
      <c r="AB266" s="76"/>
      <c r="AC266" s="77"/>
      <c r="AD266" s="83" t="s">
        <v>2086</v>
      </c>
      <c r="AE266" s="91" t="s">
        <v>2348</v>
      </c>
      <c r="AF266" s="83">
        <v>2145</v>
      </c>
      <c r="AG266" s="83">
        <v>2932462</v>
      </c>
      <c r="AH266" s="83">
        <v>13591</v>
      </c>
      <c r="AI266" s="83">
        <v>29</v>
      </c>
      <c r="AJ266" s="83"/>
      <c r="AK266" s="83" t="s">
        <v>2612</v>
      </c>
      <c r="AL266" s="83" t="s">
        <v>2797</v>
      </c>
      <c r="AM266" s="88" t="str">
        <f>HYPERLINK("http://t.co/AuHlihmmIW")</f>
        <v>http://t.co/AuHlihmmIW</v>
      </c>
      <c r="AN266" s="83"/>
      <c r="AO266" s="85">
        <v>39777.842974537038</v>
      </c>
      <c r="AP266" s="88" t="str">
        <f>HYPERLINK("https://pbs.twimg.com/profile_banners/17629860/1400528060")</f>
        <v>https://pbs.twimg.com/profile_banners/17629860/1400528060</v>
      </c>
      <c r="AQ266" s="83" t="b">
        <v>0</v>
      </c>
      <c r="AR266" s="83" t="b">
        <v>0</v>
      </c>
      <c r="AS266" s="83" t="b">
        <v>0</v>
      </c>
      <c r="AT266" s="83"/>
      <c r="AU266" s="83">
        <v>15053</v>
      </c>
      <c r="AV266" s="88" t="str">
        <f t="shared" si="2"/>
        <v>http://abs.twimg.com/images/themes/theme1/bg.png</v>
      </c>
      <c r="AW266" s="83" t="b">
        <v>1</v>
      </c>
      <c r="AX266" s="83" t="s">
        <v>2807</v>
      </c>
      <c r="AY266" s="88" t="str">
        <f>HYPERLINK("https://twitter.com/fbi")</f>
        <v>https://twitter.com/fbi</v>
      </c>
      <c r="AZ266" s="83" t="s">
        <v>65</v>
      </c>
      <c r="BA266" s="2"/>
      <c r="BB266" s="3"/>
      <c r="BC266" s="3"/>
      <c r="BD266" s="3"/>
      <c r="BE266" s="3"/>
    </row>
    <row r="267" spans="1:57" x14ac:dyDescent="0.2">
      <c r="A267" s="69" t="s">
        <v>495</v>
      </c>
      <c r="B267" s="70"/>
      <c r="C267" s="70"/>
      <c r="D267" s="71"/>
      <c r="E267" s="73"/>
      <c r="F267" s="109" t="str">
        <f>HYPERLINK("http://pbs.twimg.com/profile_images/1240829330860752896/EQl-7h3l_normal.jpg")</f>
        <v>http://pbs.twimg.com/profile_images/1240829330860752896/EQl-7h3l_normal.jpg</v>
      </c>
      <c r="G267" s="70"/>
      <c r="H267" s="74"/>
      <c r="I267" s="75"/>
      <c r="J267" s="75"/>
      <c r="K267" s="74" t="s">
        <v>3071</v>
      </c>
      <c r="L267" s="78"/>
      <c r="M267" s="79"/>
      <c r="N267" s="79"/>
      <c r="O267" s="80"/>
      <c r="P267" s="81"/>
      <c r="Q267" s="81"/>
      <c r="R267" s="93"/>
      <c r="S267" s="93"/>
      <c r="T267" s="93"/>
      <c r="U267" s="93"/>
      <c r="V267" s="52"/>
      <c r="W267" s="52"/>
      <c r="X267" s="52"/>
      <c r="Y267" s="52"/>
      <c r="Z267" s="51"/>
      <c r="AA267" s="76"/>
      <c r="AB267" s="76"/>
      <c r="AC267" s="77"/>
      <c r="AD267" s="83" t="s">
        <v>2087</v>
      </c>
      <c r="AE267" s="91" t="s">
        <v>2349</v>
      </c>
      <c r="AF267" s="83">
        <v>26601</v>
      </c>
      <c r="AG267" s="83">
        <v>27167</v>
      </c>
      <c r="AH267" s="83">
        <v>50407</v>
      </c>
      <c r="AI267" s="83">
        <v>28629</v>
      </c>
      <c r="AJ267" s="83"/>
      <c r="AK267" s="83" t="s">
        <v>2613</v>
      </c>
      <c r="AL267" s="83" t="s">
        <v>2798</v>
      </c>
      <c r="AM267" s="83"/>
      <c r="AN267" s="83"/>
      <c r="AO267" s="85">
        <v>43155.846574074072</v>
      </c>
      <c r="AP267" s="88" t="str">
        <f>HYPERLINK("https://pbs.twimg.com/profile_banners/967494104966889472/1590493286")</f>
        <v>https://pbs.twimg.com/profile_banners/967494104966889472/1590493286</v>
      </c>
      <c r="AQ267" s="83" t="b">
        <v>1</v>
      </c>
      <c r="AR267" s="83" t="b">
        <v>0</v>
      </c>
      <c r="AS267" s="83" t="b">
        <v>0</v>
      </c>
      <c r="AT267" s="83"/>
      <c r="AU267" s="83">
        <v>4</v>
      </c>
      <c r="AV267" s="83"/>
      <c r="AW267" s="83" t="b">
        <v>0</v>
      </c>
      <c r="AX267" s="83" t="s">
        <v>2807</v>
      </c>
      <c r="AY267" s="88" t="str">
        <f>HYPERLINK("https://twitter.com/emfvet78")</f>
        <v>https://twitter.com/emfvet78</v>
      </c>
      <c r="AZ267" s="83" t="s">
        <v>65</v>
      </c>
      <c r="BA267" s="2"/>
      <c r="BB267" s="3"/>
      <c r="BC267" s="3"/>
      <c r="BD267" s="3"/>
      <c r="BE267" s="3"/>
    </row>
    <row r="268" spans="1:57" x14ac:dyDescent="0.2">
      <c r="A268" s="69" t="s">
        <v>496</v>
      </c>
      <c r="B268" s="70"/>
      <c r="C268" s="70"/>
      <c r="D268" s="71"/>
      <c r="E268" s="73"/>
      <c r="F268" s="109" t="str">
        <f>HYPERLINK("http://pbs.twimg.com/profile_images/1212917070867898368/-p1MGBIx_normal.jpg")</f>
        <v>http://pbs.twimg.com/profile_images/1212917070867898368/-p1MGBIx_normal.jpg</v>
      </c>
      <c r="G268" s="70"/>
      <c r="H268" s="74"/>
      <c r="I268" s="75"/>
      <c r="J268" s="75"/>
      <c r="K268" s="74" t="s">
        <v>3072</v>
      </c>
      <c r="L268" s="78"/>
      <c r="M268" s="79"/>
      <c r="N268" s="79"/>
      <c r="O268" s="80"/>
      <c r="P268" s="81"/>
      <c r="Q268" s="81"/>
      <c r="R268" s="93"/>
      <c r="S268" s="93"/>
      <c r="T268" s="93"/>
      <c r="U268" s="93"/>
      <c r="V268" s="52"/>
      <c r="W268" s="52"/>
      <c r="X268" s="52"/>
      <c r="Y268" s="52"/>
      <c r="Z268" s="51"/>
      <c r="AA268" s="76"/>
      <c r="AB268" s="76"/>
      <c r="AC268" s="77"/>
      <c r="AD268" s="83" t="s">
        <v>2088</v>
      </c>
      <c r="AE268" s="91" t="s">
        <v>1747</v>
      </c>
      <c r="AF268" s="83">
        <v>18824</v>
      </c>
      <c r="AG268" s="83">
        <v>17248</v>
      </c>
      <c r="AH268" s="83">
        <v>52565</v>
      </c>
      <c r="AI268" s="83">
        <v>45473</v>
      </c>
      <c r="AJ268" s="83"/>
      <c r="AK268" s="83" t="s">
        <v>2614</v>
      </c>
      <c r="AL268" s="83" t="s">
        <v>2781</v>
      </c>
      <c r="AM268" s="88" t="str">
        <f>HYPERLINK("https://t.co/W3Ve8t1bue")</f>
        <v>https://t.co/W3Ve8t1bue</v>
      </c>
      <c r="AN268" s="83"/>
      <c r="AO268" s="85">
        <v>43638.03802083333</v>
      </c>
      <c r="AP268" s="88" t="str">
        <f>HYPERLINK("https://pbs.twimg.com/profile_banners/1142234435863162882/1593999446")</f>
        <v>https://pbs.twimg.com/profile_banners/1142234435863162882/1593999446</v>
      </c>
      <c r="AQ268" s="83" t="b">
        <v>1</v>
      </c>
      <c r="AR268" s="83" t="b">
        <v>0</v>
      </c>
      <c r="AS268" s="83" t="b">
        <v>1</v>
      </c>
      <c r="AT268" s="83"/>
      <c r="AU268" s="83">
        <v>3</v>
      </c>
      <c r="AV268" s="83"/>
      <c r="AW268" s="83" t="b">
        <v>0</v>
      </c>
      <c r="AX268" s="83" t="s">
        <v>2807</v>
      </c>
      <c r="AY268" s="88" t="str">
        <f>HYPERLINK("https://twitter.com/johnpecco1")</f>
        <v>https://twitter.com/johnpecco1</v>
      </c>
      <c r="AZ268" s="83" t="s">
        <v>65</v>
      </c>
      <c r="BA268" s="2"/>
      <c r="BB268" s="3"/>
      <c r="BC268" s="3"/>
      <c r="BD268" s="3"/>
      <c r="BE268" s="3"/>
    </row>
    <row r="269" spans="1:57" x14ac:dyDescent="0.2">
      <c r="A269" s="69" t="s">
        <v>447</v>
      </c>
      <c r="B269" s="70"/>
      <c r="C269" s="70"/>
      <c r="D269" s="71"/>
      <c r="E269" s="73"/>
      <c r="F269" s="109" t="str">
        <f>HYPERLINK("http://pbs.twimg.com/profile_images/876361751260000256/w91Rm_H6_normal.jpg")</f>
        <v>http://pbs.twimg.com/profile_images/876361751260000256/w91Rm_H6_normal.jpg</v>
      </c>
      <c r="G269" s="70"/>
      <c r="H269" s="74"/>
      <c r="I269" s="75"/>
      <c r="J269" s="75"/>
      <c r="K269" s="74" t="s">
        <v>3073</v>
      </c>
      <c r="L269" s="78"/>
      <c r="M269" s="79"/>
      <c r="N269" s="79"/>
      <c r="O269" s="80"/>
      <c r="P269" s="81"/>
      <c r="Q269" s="81"/>
      <c r="R269" s="93"/>
      <c r="S269" s="93"/>
      <c r="T269" s="93"/>
      <c r="U269" s="93"/>
      <c r="V269" s="52"/>
      <c r="W269" s="52"/>
      <c r="X269" s="52"/>
      <c r="Y269" s="52"/>
      <c r="Z269" s="51"/>
      <c r="AA269" s="76"/>
      <c r="AB269" s="76"/>
      <c r="AC269" s="77"/>
      <c r="AD269" s="83" t="s">
        <v>2089</v>
      </c>
      <c r="AE269" s="91" t="s">
        <v>2350</v>
      </c>
      <c r="AF269" s="83">
        <v>1606</v>
      </c>
      <c r="AG269" s="83">
        <v>1377</v>
      </c>
      <c r="AH269" s="83">
        <v>60136</v>
      </c>
      <c r="AI269" s="83">
        <v>67179</v>
      </c>
      <c r="AJ269" s="83"/>
      <c r="AK269" s="83" t="s">
        <v>2615</v>
      </c>
      <c r="AL269" s="83" t="s">
        <v>2799</v>
      </c>
      <c r="AM269" s="83"/>
      <c r="AN269" s="83"/>
      <c r="AO269" s="85">
        <v>42602.938761574071</v>
      </c>
      <c r="AP269" s="88" t="str">
        <f>HYPERLINK("https://pbs.twimg.com/profile_banners/767127023663747072/1585574172")</f>
        <v>https://pbs.twimg.com/profile_banners/767127023663747072/1585574172</v>
      </c>
      <c r="AQ269" s="83" t="b">
        <v>1</v>
      </c>
      <c r="AR269" s="83" t="b">
        <v>0</v>
      </c>
      <c r="AS269" s="83" t="b">
        <v>0</v>
      </c>
      <c r="AT269" s="83"/>
      <c r="AU269" s="83">
        <v>54</v>
      </c>
      <c r="AV269" s="83"/>
      <c r="AW269" s="83" t="b">
        <v>0</v>
      </c>
      <c r="AX269" s="83" t="s">
        <v>2807</v>
      </c>
      <c r="AY269" s="88" t="str">
        <f>HYPERLINK("https://twitter.com/conchbar17")</f>
        <v>https://twitter.com/conchbar17</v>
      </c>
      <c r="AZ269" s="83" t="s">
        <v>66</v>
      </c>
      <c r="BA269" s="2"/>
      <c r="BB269" s="3"/>
      <c r="BC269" s="3"/>
      <c r="BD269" s="3"/>
      <c r="BE269" s="3"/>
    </row>
    <row r="270" spans="1:57" x14ac:dyDescent="0.2">
      <c r="A270" s="69" t="s">
        <v>448</v>
      </c>
      <c r="B270" s="70"/>
      <c r="C270" s="70"/>
      <c r="D270" s="71"/>
      <c r="E270" s="73"/>
      <c r="F270" s="109" t="str">
        <f>HYPERLINK("http://pbs.twimg.com/profile_images/1088451846711042048/4Srq1JXX_normal.jpg")</f>
        <v>http://pbs.twimg.com/profile_images/1088451846711042048/4Srq1JXX_normal.jpg</v>
      </c>
      <c r="G270" s="70"/>
      <c r="H270" s="74"/>
      <c r="I270" s="75"/>
      <c r="J270" s="75"/>
      <c r="K270" s="74" t="s">
        <v>3074</v>
      </c>
      <c r="L270" s="78"/>
      <c r="M270" s="79"/>
      <c r="N270" s="79"/>
      <c r="O270" s="80"/>
      <c r="P270" s="81"/>
      <c r="Q270" s="81"/>
      <c r="R270" s="93"/>
      <c r="S270" s="93"/>
      <c r="T270" s="93"/>
      <c r="U270" s="93"/>
      <c r="V270" s="52"/>
      <c r="W270" s="52"/>
      <c r="X270" s="52"/>
      <c r="Y270" s="52"/>
      <c r="Z270" s="51"/>
      <c r="AA270" s="76"/>
      <c r="AB270" s="76"/>
      <c r="AC270" s="77"/>
      <c r="AD270" s="83" t="s">
        <v>2090</v>
      </c>
      <c r="AE270" s="91" t="s">
        <v>2351</v>
      </c>
      <c r="AF270" s="83">
        <v>1883</v>
      </c>
      <c r="AG270" s="83">
        <v>1383</v>
      </c>
      <c r="AH270" s="83">
        <v>92625</v>
      </c>
      <c r="AI270" s="83">
        <v>12665</v>
      </c>
      <c r="AJ270" s="83"/>
      <c r="AK270" s="83" t="s">
        <v>2616</v>
      </c>
      <c r="AL270" s="83" t="s">
        <v>2800</v>
      </c>
      <c r="AM270" s="83"/>
      <c r="AN270" s="83"/>
      <c r="AO270" s="85">
        <v>40039.184594907405</v>
      </c>
      <c r="AP270" s="88" t="str">
        <f>HYPERLINK("https://pbs.twimg.com/profile_banners/65560927/1474474882")</f>
        <v>https://pbs.twimg.com/profile_banners/65560927/1474474882</v>
      </c>
      <c r="AQ270" s="83" t="b">
        <v>0</v>
      </c>
      <c r="AR270" s="83" t="b">
        <v>0</v>
      </c>
      <c r="AS270" s="83" t="b">
        <v>1</v>
      </c>
      <c r="AT270" s="83"/>
      <c r="AU270" s="83">
        <v>30</v>
      </c>
      <c r="AV270" s="88" t="str">
        <f>HYPERLINK("http://abs.twimg.com/images/themes/theme13/bg.gif")</f>
        <v>http://abs.twimg.com/images/themes/theme13/bg.gif</v>
      </c>
      <c r="AW270" s="83" t="b">
        <v>0</v>
      </c>
      <c r="AX270" s="83" t="s">
        <v>2807</v>
      </c>
      <c r="AY270" s="88" t="str">
        <f>HYPERLINK("https://twitter.com/davidfit")</f>
        <v>https://twitter.com/davidfit</v>
      </c>
      <c r="AZ270" s="83" t="s">
        <v>66</v>
      </c>
      <c r="BA270" s="2"/>
      <c r="BB270" s="3"/>
      <c r="BC270" s="3"/>
      <c r="BD270" s="3"/>
      <c r="BE270" s="3"/>
    </row>
    <row r="271" spans="1:57" x14ac:dyDescent="0.2">
      <c r="A271" s="69" t="s">
        <v>450</v>
      </c>
      <c r="B271" s="70"/>
      <c r="C271" s="70"/>
      <c r="D271" s="71"/>
      <c r="E271" s="73"/>
      <c r="F271" s="109" t="str">
        <f>HYPERLINK("http://pbs.twimg.com/profile_images/1281687475505725445/nw0dEdbN_normal.jpg")</f>
        <v>http://pbs.twimg.com/profile_images/1281687475505725445/nw0dEdbN_normal.jpg</v>
      </c>
      <c r="G271" s="70"/>
      <c r="H271" s="74"/>
      <c r="I271" s="75"/>
      <c r="J271" s="75"/>
      <c r="K271" s="74" t="s">
        <v>3075</v>
      </c>
      <c r="L271" s="78"/>
      <c r="M271" s="79"/>
      <c r="N271" s="79"/>
      <c r="O271" s="80"/>
      <c r="P271" s="81"/>
      <c r="Q271" s="81"/>
      <c r="R271" s="93"/>
      <c r="S271" s="93"/>
      <c r="T271" s="93"/>
      <c r="U271" s="93"/>
      <c r="V271" s="52"/>
      <c r="W271" s="52"/>
      <c r="X271" s="52"/>
      <c r="Y271" s="52"/>
      <c r="Z271" s="51"/>
      <c r="AA271" s="76"/>
      <c r="AB271" s="76"/>
      <c r="AC271" s="77"/>
      <c r="AD271" s="83" t="s">
        <v>2091</v>
      </c>
      <c r="AE271" s="91" t="s">
        <v>2352</v>
      </c>
      <c r="AF271" s="83">
        <v>220</v>
      </c>
      <c r="AG271" s="83">
        <v>39</v>
      </c>
      <c r="AH271" s="83">
        <v>40</v>
      </c>
      <c r="AI271" s="83">
        <v>52</v>
      </c>
      <c r="AJ271" s="83"/>
      <c r="AK271" s="83" t="s">
        <v>2617</v>
      </c>
      <c r="AL271" s="83" t="s">
        <v>2801</v>
      </c>
      <c r="AM271" s="88" t="str">
        <f>HYPERLINK("https://t.co/O2KK6nLsJC")</f>
        <v>https://t.co/O2KK6nLsJC</v>
      </c>
      <c r="AN271" s="83"/>
      <c r="AO271" s="85">
        <v>44022.853668981479</v>
      </c>
      <c r="AP271" s="88" t="str">
        <f>HYPERLINK("https://pbs.twimg.com/profile_banners/1281686846813147140/1594415003")</f>
        <v>https://pbs.twimg.com/profile_banners/1281686846813147140/1594415003</v>
      </c>
      <c r="AQ271" s="83" t="b">
        <v>1</v>
      </c>
      <c r="AR271" s="83" t="b">
        <v>0</v>
      </c>
      <c r="AS271" s="83" t="b">
        <v>0</v>
      </c>
      <c r="AT271" s="83"/>
      <c r="AU271" s="83">
        <v>0</v>
      </c>
      <c r="AV271" s="83"/>
      <c r="AW271" s="83" t="b">
        <v>0</v>
      </c>
      <c r="AX271" s="83" t="s">
        <v>2807</v>
      </c>
      <c r="AY271" s="88" t="str">
        <f>HYPERLINK("https://twitter.com/biracialconser1")</f>
        <v>https://twitter.com/biracialconser1</v>
      </c>
      <c r="AZ271" s="83" t="s">
        <v>66</v>
      </c>
      <c r="BA271" s="2"/>
      <c r="BB271" s="3"/>
      <c r="BC271" s="3"/>
      <c r="BD271" s="3"/>
      <c r="BE271" s="3"/>
    </row>
    <row r="272" spans="1:57" x14ac:dyDescent="0.2">
      <c r="A272" s="69" t="s">
        <v>451</v>
      </c>
      <c r="B272" s="70"/>
      <c r="C272" s="70"/>
      <c r="D272" s="71"/>
      <c r="E272" s="73"/>
      <c r="F272" s="109" t="str">
        <f>HYPERLINK("http://pbs.twimg.com/profile_images/1252702811273547778/aJsCA_-p_normal.jpg")</f>
        <v>http://pbs.twimg.com/profile_images/1252702811273547778/aJsCA_-p_normal.jpg</v>
      </c>
      <c r="G272" s="70"/>
      <c r="H272" s="74"/>
      <c r="I272" s="75"/>
      <c r="J272" s="75"/>
      <c r="K272" s="74" t="s">
        <v>3076</v>
      </c>
      <c r="L272" s="78"/>
      <c r="M272" s="79"/>
      <c r="N272" s="79"/>
      <c r="O272" s="80"/>
      <c r="P272" s="81"/>
      <c r="Q272" s="81"/>
      <c r="R272" s="93"/>
      <c r="S272" s="93"/>
      <c r="T272" s="93"/>
      <c r="U272" s="93"/>
      <c r="V272" s="52"/>
      <c r="W272" s="52"/>
      <c r="X272" s="52"/>
      <c r="Y272" s="52"/>
      <c r="Z272" s="51"/>
      <c r="AA272" s="76"/>
      <c r="AB272" s="76"/>
      <c r="AC272" s="77"/>
      <c r="AD272" s="83" t="s">
        <v>2092</v>
      </c>
      <c r="AE272" s="91" t="s">
        <v>2353</v>
      </c>
      <c r="AF272" s="83">
        <v>86</v>
      </c>
      <c r="AG272" s="83">
        <v>78</v>
      </c>
      <c r="AH272" s="83">
        <v>369</v>
      </c>
      <c r="AI272" s="83">
        <v>815</v>
      </c>
      <c r="AJ272" s="83"/>
      <c r="AK272" s="83" t="s">
        <v>2618</v>
      </c>
      <c r="AL272" s="83"/>
      <c r="AM272" s="83"/>
      <c r="AN272" s="83"/>
      <c r="AO272" s="85">
        <v>40976.826863425929</v>
      </c>
      <c r="AP272" s="83"/>
      <c r="AQ272" s="83" t="b">
        <v>1</v>
      </c>
      <c r="AR272" s="83" t="b">
        <v>0</v>
      </c>
      <c r="AS272" s="83" t="b">
        <v>0</v>
      </c>
      <c r="AT272" s="83"/>
      <c r="AU272" s="83">
        <v>0</v>
      </c>
      <c r="AV272" s="88" t="str">
        <f>HYPERLINK("http://abs.twimg.com/images/themes/theme1/bg.png")</f>
        <v>http://abs.twimg.com/images/themes/theme1/bg.png</v>
      </c>
      <c r="AW272" s="83" t="b">
        <v>0</v>
      </c>
      <c r="AX272" s="83" t="s">
        <v>2807</v>
      </c>
      <c r="AY272" s="88" t="str">
        <f>HYPERLINK("https://twitter.com/itgoesanonanon")</f>
        <v>https://twitter.com/itgoesanonanon</v>
      </c>
      <c r="AZ272" s="83" t="s">
        <v>66</v>
      </c>
      <c r="BA272" s="2"/>
      <c r="BB272" s="3"/>
      <c r="BC272" s="3"/>
      <c r="BD272" s="3"/>
      <c r="BE272" s="3"/>
    </row>
    <row r="273" spans="1:57" x14ac:dyDescent="0.2">
      <c r="A273" s="69" t="s">
        <v>452</v>
      </c>
      <c r="B273" s="70"/>
      <c r="C273" s="70"/>
      <c r="D273" s="71"/>
      <c r="E273" s="73"/>
      <c r="F273" s="109" t="str">
        <f>HYPERLINK("http://pbs.twimg.com/profile_images/1220405796388904960/2lht2F-Y_normal.jpg")</f>
        <v>http://pbs.twimg.com/profile_images/1220405796388904960/2lht2F-Y_normal.jpg</v>
      </c>
      <c r="G273" s="70"/>
      <c r="H273" s="74"/>
      <c r="I273" s="75"/>
      <c r="J273" s="75"/>
      <c r="K273" s="74" t="s">
        <v>3077</v>
      </c>
      <c r="L273" s="78"/>
      <c r="M273" s="79"/>
      <c r="N273" s="79"/>
      <c r="O273" s="80"/>
      <c r="P273" s="81"/>
      <c r="Q273" s="81"/>
      <c r="R273" s="93"/>
      <c r="S273" s="93"/>
      <c r="T273" s="93"/>
      <c r="U273" s="93"/>
      <c r="V273" s="52"/>
      <c r="W273" s="52"/>
      <c r="X273" s="52"/>
      <c r="Y273" s="52"/>
      <c r="Z273" s="51"/>
      <c r="AA273" s="76"/>
      <c r="AB273" s="76"/>
      <c r="AC273" s="77"/>
      <c r="AD273" s="83" t="s">
        <v>2093</v>
      </c>
      <c r="AE273" s="91" t="s">
        <v>2354</v>
      </c>
      <c r="AF273" s="83">
        <v>221</v>
      </c>
      <c r="AG273" s="83">
        <v>156</v>
      </c>
      <c r="AH273" s="83">
        <v>1113</v>
      </c>
      <c r="AI273" s="83">
        <v>2023</v>
      </c>
      <c r="AJ273" s="83"/>
      <c r="AK273" s="83" t="s">
        <v>2619</v>
      </c>
      <c r="AL273" s="83" t="s">
        <v>2802</v>
      </c>
      <c r="AM273" s="83"/>
      <c r="AN273" s="83"/>
      <c r="AO273" s="85">
        <v>43665.109907407408</v>
      </c>
      <c r="AP273" s="88" t="str">
        <f>HYPERLINK("https://pbs.twimg.com/profile_banners/1152044955029913600/1588290975")</f>
        <v>https://pbs.twimg.com/profile_banners/1152044955029913600/1588290975</v>
      </c>
      <c r="AQ273" s="83" t="b">
        <v>1</v>
      </c>
      <c r="AR273" s="83" t="b">
        <v>0</v>
      </c>
      <c r="AS273" s="83" t="b">
        <v>0</v>
      </c>
      <c r="AT273" s="83"/>
      <c r="AU273" s="83">
        <v>0</v>
      </c>
      <c r="AV273" s="83"/>
      <c r="AW273" s="83" t="b">
        <v>0</v>
      </c>
      <c r="AX273" s="83" t="s">
        <v>2807</v>
      </c>
      <c r="AY273" s="88" t="str">
        <f>HYPERLINK("https://twitter.com/knoxyy99")</f>
        <v>https://twitter.com/knoxyy99</v>
      </c>
      <c r="AZ273" s="83" t="s">
        <v>66</v>
      </c>
      <c r="BA273" s="2"/>
      <c r="BB273" s="3"/>
      <c r="BC273" s="3"/>
      <c r="BD273" s="3"/>
      <c r="BE273" s="3"/>
    </row>
    <row r="274" spans="1:57" x14ac:dyDescent="0.2">
      <c r="A274" s="69" t="s">
        <v>453</v>
      </c>
      <c r="B274" s="70"/>
      <c r="C274" s="70"/>
      <c r="D274" s="71"/>
      <c r="E274" s="73"/>
      <c r="F274" s="109" t="str">
        <f>HYPERLINK("http://abs.twimg.com/sticky/default_profile_images/default_profile_normal.png")</f>
        <v>http://abs.twimg.com/sticky/default_profile_images/default_profile_normal.png</v>
      </c>
      <c r="G274" s="70"/>
      <c r="H274" s="74"/>
      <c r="I274" s="75"/>
      <c r="J274" s="75"/>
      <c r="K274" s="74" t="s">
        <v>3078</v>
      </c>
      <c r="L274" s="78"/>
      <c r="M274" s="79"/>
      <c r="N274" s="79"/>
      <c r="O274" s="80"/>
      <c r="P274" s="81"/>
      <c r="Q274" s="81"/>
      <c r="R274" s="93"/>
      <c r="S274" s="93"/>
      <c r="T274" s="93"/>
      <c r="U274" s="93"/>
      <c r="V274" s="52"/>
      <c r="W274" s="52"/>
      <c r="X274" s="52"/>
      <c r="Y274" s="52"/>
      <c r="Z274" s="51"/>
      <c r="AA274" s="76"/>
      <c r="AB274" s="76"/>
      <c r="AC274" s="77"/>
      <c r="AD274" s="83" t="s">
        <v>2094</v>
      </c>
      <c r="AE274" s="91" t="s">
        <v>2355</v>
      </c>
      <c r="AF274" s="83">
        <v>152</v>
      </c>
      <c r="AG274" s="83">
        <v>16</v>
      </c>
      <c r="AH274" s="83">
        <v>1277</v>
      </c>
      <c r="AI274" s="83">
        <v>1307</v>
      </c>
      <c r="AJ274" s="83"/>
      <c r="AK274" s="83" t="s">
        <v>2620</v>
      </c>
      <c r="AL274" s="83"/>
      <c r="AM274" s="83"/>
      <c r="AN274" s="83"/>
      <c r="AO274" s="85">
        <v>41805.689560185187</v>
      </c>
      <c r="AP274" s="83"/>
      <c r="AQ274" s="83" t="b">
        <v>0</v>
      </c>
      <c r="AR274" s="83" t="b">
        <v>1</v>
      </c>
      <c r="AS274" s="83" t="b">
        <v>0</v>
      </c>
      <c r="AT274" s="83"/>
      <c r="AU274" s="83">
        <v>0</v>
      </c>
      <c r="AV274" s="88" t="str">
        <f>HYPERLINK("http://abs.twimg.com/images/themes/theme1/bg.png")</f>
        <v>http://abs.twimg.com/images/themes/theme1/bg.png</v>
      </c>
      <c r="AW274" s="83" t="b">
        <v>0</v>
      </c>
      <c r="AX274" s="83" t="s">
        <v>2807</v>
      </c>
      <c r="AY274" s="88" t="str">
        <f>HYPERLINK("https://twitter.com/mikespec11")</f>
        <v>https://twitter.com/mikespec11</v>
      </c>
      <c r="AZ274" s="83" t="s">
        <v>66</v>
      </c>
      <c r="BA274" s="2"/>
      <c r="BB274" s="3"/>
      <c r="BC274" s="3"/>
      <c r="BD274" s="3"/>
      <c r="BE274" s="3"/>
    </row>
    <row r="275" spans="1:57" x14ac:dyDescent="0.2">
      <c r="A275" s="69" t="s">
        <v>454</v>
      </c>
      <c r="B275" s="70"/>
      <c r="C275" s="70"/>
      <c r="D275" s="71"/>
      <c r="E275" s="73"/>
      <c r="F275" s="109" t="str">
        <f>HYPERLINK("http://pbs.twimg.com/profile_images/1279338846480560128/jA51De_c_normal.jpg")</f>
        <v>http://pbs.twimg.com/profile_images/1279338846480560128/jA51De_c_normal.jpg</v>
      </c>
      <c r="G275" s="70"/>
      <c r="H275" s="74"/>
      <c r="I275" s="75"/>
      <c r="J275" s="75"/>
      <c r="K275" s="74" t="s">
        <v>3079</v>
      </c>
      <c r="L275" s="78"/>
      <c r="M275" s="79"/>
      <c r="N275" s="79"/>
      <c r="O275" s="80"/>
      <c r="P275" s="81"/>
      <c r="Q275" s="81"/>
      <c r="R275" s="93"/>
      <c r="S275" s="93"/>
      <c r="T275" s="93"/>
      <c r="U275" s="93"/>
      <c r="V275" s="52"/>
      <c r="W275" s="52"/>
      <c r="X275" s="52"/>
      <c r="Y275" s="52"/>
      <c r="Z275" s="51"/>
      <c r="AA275" s="76"/>
      <c r="AB275" s="76"/>
      <c r="AC275" s="77"/>
      <c r="AD275" s="83" t="s">
        <v>2095</v>
      </c>
      <c r="AE275" s="91" t="s">
        <v>2356</v>
      </c>
      <c r="AF275" s="83">
        <v>520</v>
      </c>
      <c r="AG275" s="83">
        <v>403</v>
      </c>
      <c r="AH275" s="83">
        <v>1218</v>
      </c>
      <c r="AI275" s="83">
        <v>2950</v>
      </c>
      <c r="AJ275" s="83"/>
      <c r="AK275" s="83" t="s">
        <v>2621</v>
      </c>
      <c r="AL275" s="83"/>
      <c r="AM275" s="83"/>
      <c r="AN275" s="83"/>
      <c r="AO275" s="85">
        <v>43998.585416666669</v>
      </c>
      <c r="AP275" s="88" t="str">
        <f>HYPERLINK("https://pbs.twimg.com/profile_banners/1272892371865346048/1593989217")</f>
        <v>https://pbs.twimg.com/profile_banners/1272892371865346048/1593989217</v>
      </c>
      <c r="AQ275" s="83" t="b">
        <v>1</v>
      </c>
      <c r="AR275" s="83" t="b">
        <v>0</v>
      </c>
      <c r="AS275" s="83" t="b">
        <v>1</v>
      </c>
      <c r="AT275" s="83"/>
      <c r="AU275" s="83">
        <v>0</v>
      </c>
      <c r="AV275" s="83"/>
      <c r="AW275" s="83" t="b">
        <v>0</v>
      </c>
      <c r="AX275" s="83" t="s">
        <v>2807</v>
      </c>
      <c r="AY275" s="88" t="str">
        <f>HYPERLINK("https://twitter.com/lovelightangel2")</f>
        <v>https://twitter.com/lovelightangel2</v>
      </c>
      <c r="AZ275" s="83" t="s">
        <v>66</v>
      </c>
      <c r="BA275" s="2"/>
      <c r="BB275" s="3"/>
      <c r="BC275" s="3"/>
      <c r="BD275" s="3"/>
      <c r="BE275" s="3"/>
    </row>
    <row r="276" spans="1:57" x14ac:dyDescent="0.2">
      <c r="A276" s="69" t="s">
        <v>455</v>
      </c>
      <c r="B276" s="70"/>
      <c r="C276" s="70"/>
      <c r="D276" s="71"/>
      <c r="E276" s="73"/>
      <c r="F276" s="109" t="str">
        <f>HYPERLINK("http://pbs.twimg.com/profile_images/1248987377978105857/t_t2Jxbr_normal.jpg")</f>
        <v>http://pbs.twimg.com/profile_images/1248987377978105857/t_t2Jxbr_normal.jpg</v>
      </c>
      <c r="G276" s="70"/>
      <c r="H276" s="74"/>
      <c r="I276" s="75"/>
      <c r="J276" s="75"/>
      <c r="K276" s="74" t="s">
        <v>3080</v>
      </c>
      <c r="L276" s="78"/>
      <c r="M276" s="79"/>
      <c r="N276" s="79"/>
      <c r="O276" s="80"/>
      <c r="P276" s="81"/>
      <c r="Q276" s="81"/>
      <c r="R276" s="93"/>
      <c r="S276" s="93"/>
      <c r="T276" s="93"/>
      <c r="U276" s="93"/>
      <c r="V276" s="52"/>
      <c r="W276" s="52"/>
      <c r="X276" s="52"/>
      <c r="Y276" s="52"/>
      <c r="Z276" s="51"/>
      <c r="AA276" s="76"/>
      <c r="AB276" s="76"/>
      <c r="AC276" s="77"/>
      <c r="AD276" s="83" t="s">
        <v>2096</v>
      </c>
      <c r="AE276" s="91" t="s">
        <v>2357</v>
      </c>
      <c r="AF276" s="83">
        <v>128</v>
      </c>
      <c r="AG276" s="83">
        <v>85</v>
      </c>
      <c r="AH276" s="83">
        <v>2513</v>
      </c>
      <c r="AI276" s="83">
        <v>5158</v>
      </c>
      <c r="AJ276" s="83"/>
      <c r="AK276" s="83" t="s">
        <v>2622</v>
      </c>
      <c r="AL276" s="83" t="s">
        <v>2803</v>
      </c>
      <c r="AM276" s="83"/>
      <c r="AN276" s="83"/>
      <c r="AO276" s="85">
        <v>40302.938993055555</v>
      </c>
      <c r="AP276" s="88" t="str">
        <f>HYPERLINK("https://pbs.twimg.com/profile_banners/140211427/1563411811")</f>
        <v>https://pbs.twimg.com/profile_banners/140211427/1563411811</v>
      </c>
      <c r="AQ276" s="83" t="b">
        <v>0</v>
      </c>
      <c r="AR276" s="83" t="b">
        <v>0</v>
      </c>
      <c r="AS276" s="83" t="b">
        <v>1</v>
      </c>
      <c r="AT276" s="83"/>
      <c r="AU276" s="83">
        <v>1</v>
      </c>
      <c r="AV276" s="88" t="str">
        <f>HYPERLINK("http://abs.twimg.com/images/themes/theme13/bg.gif")</f>
        <v>http://abs.twimg.com/images/themes/theme13/bg.gif</v>
      </c>
      <c r="AW276" s="83" t="b">
        <v>0</v>
      </c>
      <c r="AX276" s="83" t="s">
        <v>2807</v>
      </c>
      <c r="AY276" s="88" t="str">
        <f>HYPERLINK("https://twitter.com/_omizo_")</f>
        <v>https://twitter.com/_omizo_</v>
      </c>
      <c r="AZ276" s="83" t="s">
        <v>66</v>
      </c>
      <c r="BA276" s="2"/>
      <c r="BB276" s="3"/>
      <c r="BC276" s="3"/>
      <c r="BD276" s="3"/>
      <c r="BE276" s="3"/>
    </row>
    <row r="277" spans="1:57" x14ac:dyDescent="0.2">
      <c r="A277" s="69" t="s">
        <v>457</v>
      </c>
      <c r="B277" s="70"/>
      <c r="C277" s="70"/>
      <c r="D277" s="71"/>
      <c r="E277" s="73"/>
      <c r="F277" s="109" t="str">
        <f>HYPERLINK("http://pbs.twimg.com/profile_images/1270519000720687106/DyEgbmhn_normal.jpg")</f>
        <v>http://pbs.twimg.com/profile_images/1270519000720687106/DyEgbmhn_normal.jpg</v>
      </c>
      <c r="G277" s="70"/>
      <c r="H277" s="74"/>
      <c r="I277" s="75"/>
      <c r="J277" s="75"/>
      <c r="K277" s="74" t="s">
        <v>3081</v>
      </c>
      <c r="L277" s="78"/>
      <c r="M277" s="79"/>
      <c r="N277" s="79"/>
      <c r="O277" s="80"/>
      <c r="P277" s="81"/>
      <c r="Q277" s="81"/>
      <c r="R277" s="93"/>
      <c r="S277" s="93"/>
      <c r="T277" s="93"/>
      <c r="U277" s="93"/>
      <c r="V277" s="52"/>
      <c r="W277" s="52"/>
      <c r="X277" s="52"/>
      <c r="Y277" s="52"/>
      <c r="Z277" s="51"/>
      <c r="AA277" s="76"/>
      <c r="AB277" s="76"/>
      <c r="AC277" s="77"/>
      <c r="AD277" s="83" t="s">
        <v>2097</v>
      </c>
      <c r="AE277" s="91" t="s">
        <v>2358</v>
      </c>
      <c r="AF277" s="83">
        <v>6</v>
      </c>
      <c r="AG277" s="83">
        <v>1</v>
      </c>
      <c r="AH277" s="83">
        <v>7</v>
      </c>
      <c r="AI277" s="83">
        <v>38</v>
      </c>
      <c r="AJ277" s="83"/>
      <c r="AK277" s="83" t="s">
        <v>2623</v>
      </c>
      <c r="AL277" s="83"/>
      <c r="AM277" s="83"/>
      <c r="AN277" s="83"/>
      <c r="AO277" s="85">
        <v>43532.660925925928</v>
      </c>
      <c r="AP277" s="88" t="str">
        <f>HYPERLINK("https://pbs.twimg.com/profile_banners/1104047053473267713/1591750310")</f>
        <v>https://pbs.twimg.com/profile_banners/1104047053473267713/1591750310</v>
      </c>
      <c r="AQ277" s="83" t="b">
        <v>1</v>
      </c>
      <c r="AR277" s="83" t="b">
        <v>0</v>
      </c>
      <c r="AS277" s="83" t="b">
        <v>0</v>
      </c>
      <c r="AT277" s="83"/>
      <c r="AU277" s="83">
        <v>0</v>
      </c>
      <c r="AV277" s="83"/>
      <c r="AW277" s="83" t="b">
        <v>0</v>
      </c>
      <c r="AX277" s="83" t="s">
        <v>2807</v>
      </c>
      <c r="AY277" s="88" t="str">
        <f>HYPERLINK("https://twitter.com/bookworm543211")</f>
        <v>https://twitter.com/bookworm543211</v>
      </c>
      <c r="AZ277" s="83" t="s">
        <v>66</v>
      </c>
      <c r="BA277" s="2"/>
      <c r="BB277" s="3"/>
      <c r="BC277" s="3"/>
      <c r="BD277" s="3"/>
      <c r="BE277" s="3"/>
    </row>
    <row r="278" spans="1:57" x14ac:dyDescent="0.2">
      <c r="A278" s="69" t="s">
        <v>458</v>
      </c>
      <c r="B278" s="70"/>
      <c r="C278" s="70"/>
      <c r="D278" s="71"/>
      <c r="E278" s="73"/>
      <c r="F278" s="109" t="str">
        <f>HYPERLINK("http://pbs.twimg.com/profile_images/1148383654961471489/pYfnyCvU_normal.jpg")</f>
        <v>http://pbs.twimg.com/profile_images/1148383654961471489/pYfnyCvU_normal.jpg</v>
      </c>
      <c r="G278" s="70"/>
      <c r="H278" s="74"/>
      <c r="I278" s="75"/>
      <c r="J278" s="75"/>
      <c r="K278" s="74" t="s">
        <v>3082</v>
      </c>
      <c r="L278" s="78"/>
      <c r="M278" s="79"/>
      <c r="N278" s="79"/>
      <c r="O278" s="80"/>
      <c r="P278" s="81"/>
      <c r="Q278" s="81"/>
      <c r="R278" s="93"/>
      <c r="S278" s="93"/>
      <c r="T278" s="93"/>
      <c r="U278" s="93"/>
      <c r="V278" s="52"/>
      <c r="W278" s="52"/>
      <c r="X278" s="52"/>
      <c r="Y278" s="52"/>
      <c r="Z278" s="51"/>
      <c r="AA278" s="76"/>
      <c r="AB278" s="76"/>
      <c r="AC278" s="77"/>
      <c r="AD278" s="83" t="s">
        <v>2098</v>
      </c>
      <c r="AE278" s="91" t="s">
        <v>2359</v>
      </c>
      <c r="AF278" s="83">
        <v>1557</v>
      </c>
      <c r="AG278" s="83">
        <v>1235</v>
      </c>
      <c r="AH278" s="83">
        <v>17363</v>
      </c>
      <c r="AI278" s="83">
        <v>1471</v>
      </c>
      <c r="AJ278" s="83"/>
      <c r="AK278" s="83" t="s">
        <v>2624</v>
      </c>
      <c r="AL278" s="83" t="s">
        <v>2663</v>
      </c>
      <c r="AM278" s="83"/>
      <c r="AN278" s="83"/>
      <c r="AO278" s="85">
        <v>43310.098692129628</v>
      </c>
      <c r="AP278" s="88" t="str">
        <f>HYPERLINK("https://pbs.twimg.com/profile_banners/1023393202030694400/1562324665")</f>
        <v>https://pbs.twimg.com/profile_banners/1023393202030694400/1562324665</v>
      </c>
      <c r="AQ278" s="83" t="b">
        <v>1</v>
      </c>
      <c r="AR278" s="83" t="b">
        <v>0</v>
      </c>
      <c r="AS278" s="83" t="b">
        <v>0</v>
      </c>
      <c r="AT278" s="83"/>
      <c r="AU278" s="83">
        <v>0</v>
      </c>
      <c r="AV278" s="83"/>
      <c r="AW278" s="83" t="b">
        <v>0</v>
      </c>
      <c r="AX278" s="83" t="s">
        <v>2807</v>
      </c>
      <c r="AY278" s="88" t="str">
        <f>HYPERLINK("https://twitter.com/honor2020")</f>
        <v>https://twitter.com/honor2020</v>
      </c>
      <c r="AZ278" s="83" t="s">
        <v>66</v>
      </c>
      <c r="BA278" s="2"/>
      <c r="BB278" s="3"/>
      <c r="BC278" s="3"/>
      <c r="BD278" s="3"/>
      <c r="BE278" s="3"/>
    </row>
    <row r="279" spans="1:57" x14ac:dyDescent="0.2">
      <c r="A279" s="69" t="s">
        <v>459</v>
      </c>
      <c r="B279" s="70"/>
      <c r="C279" s="70"/>
      <c r="D279" s="71"/>
      <c r="E279" s="73"/>
      <c r="F279" s="109" t="str">
        <f>HYPERLINK("http://pbs.twimg.com/profile_images/1224928753362432000/4kGWrzkK_normal.jpg")</f>
        <v>http://pbs.twimg.com/profile_images/1224928753362432000/4kGWrzkK_normal.jpg</v>
      </c>
      <c r="G279" s="70"/>
      <c r="H279" s="74"/>
      <c r="I279" s="75"/>
      <c r="J279" s="75"/>
      <c r="K279" s="74" t="s">
        <v>3083</v>
      </c>
      <c r="L279" s="78"/>
      <c r="M279" s="79"/>
      <c r="N279" s="79"/>
      <c r="O279" s="80"/>
      <c r="P279" s="81"/>
      <c r="Q279" s="81"/>
      <c r="R279" s="93"/>
      <c r="S279" s="93"/>
      <c r="T279" s="93"/>
      <c r="U279" s="93"/>
      <c r="V279" s="52"/>
      <c r="W279" s="52"/>
      <c r="X279" s="52"/>
      <c r="Y279" s="52"/>
      <c r="Z279" s="51"/>
      <c r="AA279" s="76"/>
      <c r="AB279" s="76"/>
      <c r="AC279" s="77"/>
      <c r="AD279" s="83" t="s">
        <v>2099</v>
      </c>
      <c r="AE279" s="91" t="s">
        <v>2360</v>
      </c>
      <c r="AF279" s="83">
        <v>0</v>
      </c>
      <c r="AG279" s="83">
        <v>5</v>
      </c>
      <c r="AH279" s="83">
        <v>62</v>
      </c>
      <c r="AI279" s="83">
        <v>0</v>
      </c>
      <c r="AJ279" s="83"/>
      <c r="AK279" s="83" t="s">
        <v>2625</v>
      </c>
      <c r="AL279" s="83" t="s">
        <v>2804</v>
      </c>
      <c r="AM279" s="88" t="str">
        <f>HYPERLINK("https://t.co/fpplBFkihr")</f>
        <v>https://t.co/fpplBFkihr</v>
      </c>
      <c r="AN279" s="83"/>
      <c r="AO279" s="85">
        <v>43866.213761574072</v>
      </c>
      <c r="AP279" s="88" t="str">
        <f>HYPERLINK("https://pbs.twimg.com/profile_banners/1224922450615422977/1580882628")</f>
        <v>https://pbs.twimg.com/profile_banners/1224922450615422977/1580882628</v>
      </c>
      <c r="AQ279" s="83" t="b">
        <v>1</v>
      </c>
      <c r="AR279" s="83" t="b">
        <v>0</v>
      </c>
      <c r="AS279" s="83" t="b">
        <v>0</v>
      </c>
      <c r="AT279" s="83"/>
      <c r="AU279" s="83">
        <v>0</v>
      </c>
      <c r="AV279" s="83"/>
      <c r="AW279" s="83" t="b">
        <v>0</v>
      </c>
      <c r="AX279" s="83" t="s">
        <v>2807</v>
      </c>
      <c r="AY279" s="88" t="str">
        <f>HYPERLINK("https://twitter.com/lookstorei")</f>
        <v>https://twitter.com/lookstorei</v>
      </c>
      <c r="AZ279" s="83" t="s">
        <v>66</v>
      </c>
      <c r="BA279" s="2"/>
      <c r="BB279" s="3"/>
      <c r="BC279" s="3"/>
      <c r="BD279" s="3"/>
      <c r="BE279" s="3"/>
    </row>
    <row r="280" spans="1:57" x14ac:dyDescent="0.2">
      <c r="A280" s="69" t="s">
        <v>460</v>
      </c>
      <c r="B280" s="70"/>
      <c r="C280" s="70"/>
      <c r="D280" s="71"/>
      <c r="E280" s="73"/>
      <c r="F280" s="109" t="str">
        <f>HYPERLINK("http://pbs.twimg.com/profile_images/1016733800506650624/qXOa1qsu_normal.jpg")</f>
        <v>http://pbs.twimg.com/profile_images/1016733800506650624/qXOa1qsu_normal.jpg</v>
      </c>
      <c r="G280" s="70"/>
      <c r="H280" s="74"/>
      <c r="I280" s="75"/>
      <c r="J280" s="75"/>
      <c r="K280" s="74" t="s">
        <v>3084</v>
      </c>
      <c r="L280" s="78"/>
      <c r="M280" s="79"/>
      <c r="N280" s="79"/>
      <c r="O280" s="80"/>
      <c r="P280" s="81"/>
      <c r="Q280" s="81"/>
      <c r="R280" s="93"/>
      <c r="S280" s="93"/>
      <c r="T280" s="93"/>
      <c r="U280" s="93"/>
      <c r="V280" s="52"/>
      <c r="W280" s="52"/>
      <c r="X280" s="52"/>
      <c r="Y280" s="52"/>
      <c r="Z280" s="51"/>
      <c r="AA280" s="76"/>
      <c r="AB280" s="76"/>
      <c r="AC280" s="77"/>
      <c r="AD280" s="83" t="s">
        <v>2100</v>
      </c>
      <c r="AE280" s="91" t="s">
        <v>2361</v>
      </c>
      <c r="AF280" s="83">
        <v>8327</v>
      </c>
      <c r="AG280" s="83">
        <v>7596</v>
      </c>
      <c r="AH280" s="83">
        <v>143701</v>
      </c>
      <c r="AI280" s="83">
        <v>171955</v>
      </c>
      <c r="AJ280" s="83"/>
      <c r="AK280" s="83" t="s">
        <v>2626</v>
      </c>
      <c r="AL280" s="83"/>
      <c r="AM280" s="83"/>
      <c r="AN280" s="83"/>
      <c r="AO280" s="85">
        <v>43169.900451388887</v>
      </c>
      <c r="AP280" s="88" t="str">
        <f>HYPERLINK("https://pbs.twimg.com/profile_banners/972587059448868865/1559253055")</f>
        <v>https://pbs.twimg.com/profile_banners/972587059448868865/1559253055</v>
      </c>
      <c r="AQ280" s="83" t="b">
        <v>1</v>
      </c>
      <c r="AR280" s="83" t="b">
        <v>0</v>
      </c>
      <c r="AS280" s="83" t="b">
        <v>0</v>
      </c>
      <c r="AT280" s="83"/>
      <c r="AU280" s="83">
        <v>3</v>
      </c>
      <c r="AV280" s="83"/>
      <c r="AW280" s="83" t="b">
        <v>0</v>
      </c>
      <c r="AX280" s="83" t="s">
        <v>2807</v>
      </c>
      <c r="AY280" s="88" t="str">
        <f>HYPERLINK("https://twitter.com/joanofarc62")</f>
        <v>https://twitter.com/joanofarc62</v>
      </c>
      <c r="AZ280" s="83" t="s">
        <v>66</v>
      </c>
      <c r="BA280" s="2"/>
      <c r="BB280" s="3"/>
      <c r="BC280" s="3"/>
      <c r="BD280" s="3"/>
      <c r="BE280" s="3"/>
    </row>
    <row r="281" spans="1:57" x14ac:dyDescent="0.2">
      <c r="A281" s="69" t="s">
        <v>497</v>
      </c>
      <c r="B281" s="70"/>
      <c r="C281" s="70"/>
      <c r="D281" s="71"/>
      <c r="E281" s="73"/>
      <c r="F281" s="109" t="str">
        <f>HYPERLINK("http://pbs.twimg.com/profile_images/964489716622966784/xbtCe2td_normal.jpg")</f>
        <v>http://pbs.twimg.com/profile_images/964489716622966784/xbtCe2td_normal.jpg</v>
      </c>
      <c r="G281" s="70"/>
      <c r="H281" s="74"/>
      <c r="I281" s="75"/>
      <c r="J281" s="75"/>
      <c r="K281" s="74" t="s">
        <v>3085</v>
      </c>
      <c r="L281" s="78"/>
      <c r="M281" s="79"/>
      <c r="N281" s="79"/>
      <c r="O281" s="80"/>
      <c r="P281" s="81"/>
      <c r="Q281" s="81"/>
      <c r="R281" s="93"/>
      <c r="S281" s="93"/>
      <c r="T281" s="93"/>
      <c r="U281" s="93"/>
      <c r="V281" s="52"/>
      <c r="W281" s="52"/>
      <c r="X281" s="52"/>
      <c r="Y281" s="52"/>
      <c r="Z281" s="51"/>
      <c r="AA281" s="76"/>
      <c r="AB281" s="76"/>
      <c r="AC281" s="77"/>
      <c r="AD281" s="83" t="s">
        <v>2101</v>
      </c>
      <c r="AE281" s="91" t="s">
        <v>2362</v>
      </c>
      <c r="AF281" s="83">
        <v>307</v>
      </c>
      <c r="AG281" s="83">
        <v>2070964</v>
      </c>
      <c r="AH281" s="83">
        <v>1929</v>
      </c>
      <c r="AI281" s="83">
        <v>16</v>
      </c>
      <c r="AJ281" s="83"/>
      <c r="AK281" s="83" t="s">
        <v>2627</v>
      </c>
      <c r="AL281" s="83" t="s">
        <v>2805</v>
      </c>
      <c r="AM281" s="88" t="str">
        <f>HYPERLINK("https://t.co/dgU6xXHgmU")</f>
        <v>https://t.co/dgU6xXHgmU</v>
      </c>
      <c r="AN281" s="83"/>
      <c r="AO281" s="85">
        <v>39987.766712962963</v>
      </c>
      <c r="AP281" s="88" t="str">
        <f>HYPERLINK("https://pbs.twimg.com/profile_banners/50055701/1518787269")</f>
        <v>https://pbs.twimg.com/profile_banners/50055701/1518787269</v>
      </c>
      <c r="AQ281" s="83" t="b">
        <v>0</v>
      </c>
      <c r="AR281" s="83" t="b">
        <v>0</v>
      </c>
      <c r="AS281" s="83" t="b">
        <v>0</v>
      </c>
      <c r="AT281" s="83"/>
      <c r="AU281" s="83">
        <v>14229</v>
      </c>
      <c r="AV281" s="88" t="str">
        <f>HYPERLINK("http://abs.twimg.com/images/themes/theme1/bg.png")</f>
        <v>http://abs.twimg.com/images/themes/theme1/bg.png</v>
      </c>
      <c r="AW281" s="83" t="b">
        <v>1</v>
      </c>
      <c r="AX281" s="83" t="s">
        <v>2807</v>
      </c>
      <c r="AY281" s="88" t="str">
        <f>HYPERLINK("https://twitter.com/mittromney")</f>
        <v>https://twitter.com/mittromney</v>
      </c>
      <c r="AZ281" s="83" t="s">
        <v>65</v>
      </c>
      <c r="BA281" s="2"/>
      <c r="BB281" s="3"/>
      <c r="BC281" s="3"/>
      <c r="BD281" s="3"/>
      <c r="BE281" s="3"/>
    </row>
    <row r="282" spans="1:57" x14ac:dyDescent="0.2">
      <c r="A282" s="69" t="s">
        <v>461</v>
      </c>
      <c r="B282" s="70"/>
      <c r="C282" s="70"/>
      <c r="D282" s="71"/>
      <c r="E282" s="73"/>
      <c r="F282" s="109" t="str">
        <f>HYPERLINK("http://pbs.twimg.com/profile_images/1235239437447110656/t_0cPgjc_normal.jpg")</f>
        <v>http://pbs.twimg.com/profile_images/1235239437447110656/t_0cPgjc_normal.jpg</v>
      </c>
      <c r="G282" s="70"/>
      <c r="H282" s="74"/>
      <c r="I282" s="75"/>
      <c r="J282" s="75"/>
      <c r="K282" s="74" t="s">
        <v>3086</v>
      </c>
      <c r="L282" s="78"/>
      <c r="M282" s="79"/>
      <c r="N282" s="79"/>
      <c r="O282" s="80"/>
      <c r="P282" s="81"/>
      <c r="Q282" s="81"/>
      <c r="R282" s="93"/>
      <c r="S282" s="93"/>
      <c r="T282" s="93"/>
      <c r="U282" s="93"/>
      <c r="V282" s="52"/>
      <c r="W282" s="52"/>
      <c r="X282" s="52"/>
      <c r="Y282" s="52"/>
      <c r="Z282" s="51"/>
      <c r="AA282" s="76"/>
      <c r="AB282" s="76"/>
      <c r="AC282" s="77"/>
      <c r="AD282" s="83" t="s">
        <v>2102</v>
      </c>
      <c r="AE282" s="91" t="s">
        <v>1748</v>
      </c>
      <c r="AF282" s="83">
        <v>5004</v>
      </c>
      <c r="AG282" s="83">
        <v>4561</v>
      </c>
      <c r="AH282" s="83">
        <v>38850</v>
      </c>
      <c r="AI282" s="83">
        <v>69503</v>
      </c>
      <c r="AJ282" s="83"/>
      <c r="AK282" s="83" t="s">
        <v>2628</v>
      </c>
      <c r="AL282" s="83"/>
      <c r="AM282" s="88" t="str">
        <f>HYPERLINK("https://t.co/C7OsZdbFAv")</f>
        <v>https://t.co/C7OsZdbFAv</v>
      </c>
      <c r="AN282" s="83"/>
      <c r="AO282" s="85">
        <v>43279.678287037037</v>
      </c>
      <c r="AP282" s="88" t="str">
        <f>HYPERLINK("https://pbs.twimg.com/profile_banners/1012369215167303681/1593483733")</f>
        <v>https://pbs.twimg.com/profile_banners/1012369215167303681/1593483733</v>
      </c>
      <c r="AQ282" s="83" t="b">
        <v>1</v>
      </c>
      <c r="AR282" s="83" t="b">
        <v>0</v>
      </c>
      <c r="AS282" s="83" t="b">
        <v>0</v>
      </c>
      <c r="AT282" s="83"/>
      <c r="AU282" s="83">
        <v>0</v>
      </c>
      <c r="AV282" s="83"/>
      <c r="AW282" s="83" t="b">
        <v>0</v>
      </c>
      <c r="AX282" s="83" t="s">
        <v>2807</v>
      </c>
      <c r="AY282" s="88" t="str">
        <f>HYPERLINK("https://twitter.com/deplorqult45")</f>
        <v>https://twitter.com/deplorqult45</v>
      </c>
      <c r="AZ282" s="83" t="s">
        <v>66</v>
      </c>
      <c r="BA282" s="2"/>
      <c r="BB282" s="3"/>
      <c r="BC282" s="3"/>
      <c r="BD282" s="3"/>
      <c r="BE282" s="3"/>
    </row>
    <row r="283" spans="1:57" x14ac:dyDescent="0.2">
      <c r="A283" s="69" t="s">
        <v>462</v>
      </c>
      <c r="B283" s="70"/>
      <c r="C283" s="70"/>
      <c r="D283" s="71"/>
      <c r="E283" s="73"/>
      <c r="F283" s="109" t="str">
        <f>HYPERLINK("http://pbs.twimg.com/profile_images/378800000148188324/1f64dc3f372b5390234bbaff6b194fb8_normal.jpeg")</f>
        <v>http://pbs.twimg.com/profile_images/378800000148188324/1f64dc3f372b5390234bbaff6b194fb8_normal.jpeg</v>
      </c>
      <c r="G283" s="70"/>
      <c r="H283" s="74"/>
      <c r="I283" s="75"/>
      <c r="J283" s="75"/>
      <c r="K283" s="74" t="s">
        <v>3087</v>
      </c>
      <c r="L283" s="78"/>
      <c r="M283" s="79"/>
      <c r="N283" s="79"/>
      <c r="O283" s="80"/>
      <c r="P283" s="81"/>
      <c r="Q283" s="81"/>
      <c r="R283" s="93"/>
      <c r="S283" s="93"/>
      <c r="T283" s="93"/>
      <c r="U283" s="93"/>
      <c r="V283" s="52"/>
      <c r="W283" s="52"/>
      <c r="X283" s="52"/>
      <c r="Y283" s="52"/>
      <c r="Z283" s="51"/>
      <c r="AA283" s="76"/>
      <c r="AB283" s="76"/>
      <c r="AC283" s="77"/>
      <c r="AD283" s="83" t="s">
        <v>2103</v>
      </c>
      <c r="AE283" s="91" t="s">
        <v>2363</v>
      </c>
      <c r="AF283" s="83">
        <v>16421</v>
      </c>
      <c r="AG283" s="83">
        <v>16636</v>
      </c>
      <c r="AH283" s="83">
        <v>207464</v>
      </c>
      <c r="AI283" s="83">
        <v>75043</v>
      </c>
      <c r="AJ283" s="83"/>
      <c r="AK283" s="83" t="s">
        <v>2629</v>
      </c>
      <c r="AL283" s="83"/>
      <c r="AM283" s="83"/>
      <c r="AN283" s="83"/>
      <c r="AO283" s="85">
        <v>40204.00744212963</v>
      </c>
      <c r="AP283" s="88" t="str">
        <f>HYPERLINK("https://pbs.twimg.com/profile_banners/108450607/1531804230")</f>
        <v>https://pbs.twimg.com/profile_banners/108450607/1531804230</v>
      </c>
      <c r="AQ283" s="83" t="b">
        <v>0</v>
      </c>
      <c r="AR283" s="83" t="b">
        <v>0</v>
      </c>
      <c r="AS283" s="83" t="b">
        <v>0</v>
      </c>
      <c r="AT283" s="83"/>
      <c r="AU283" s="83">
        <v>164</v>
      </c>
      <c r="AV283" s="88" t="str">
        <f>HYPERLINK("http://abs.twimg.com/images/themes/theme13/bg.gif")</f>
        <v>http://abs.twimg.com/images/themes/theme13/bg.gif</v>
      </c>
      <c r="AW283" s="83" t="b">
        <v>0</v>
      </c>
      <c r="AX283" s="83" t="s">
        <v>2807</v>
      </c>
      <c r="AY283" s="88" t="str">
        <f>HYPERLINK("https://twitter.com/marymauldin")</f>
        <v>https://twitter.com/marymauldin</v>
      </c>
      <c r="AZ283" s="83" t="s">
        <v>66</v>
      </c>
      <c r="BA283" s="2"/>
      <c r="BB283" s="3"/>
      <c r="BC283" s="3"/>
      <c r="BD283" s="3"/>
      <c r="BE283" s="3"/>
    </row>
    <row r="284" spans="1:57" x14ac:dyDescent="0.2">
      <c r="A284" s="69" t="s">
        <v>498</v>
      </c>
      <c r="B284" s="70"/>
      <c r="C284" s="70"/>
      <c r="D284" s="71"/>
      <c r="E284" s="73"/>
      <c r="F284" s="109" t="str">
        <f>HYPERLINK("http://pbs.twimg.com/profile_images/1271972927983038464/b_lkRCEG_normal.jpg")</f>
        <v>http://pbs.twimg.com/profile_images/1271972927983038464/b_lkRCEG_normal.jpg</v>
      </c>
      <c r="G284" s="70"/>
      <c r="H284" s="74"/>
      <c r="I284" s="75"/>
      <c r="J284" s="75"/>
      <c r="K284" s="74" t="s">
        <v>3088</v>
      </c>
      <c r="L284" s="78"/>
      <c r="M284" s="79"/>
      <c r="N284" s="79"/>
      <c r="O284" s="80"/>
      <c r="P284" s="81"/>
      <c r="Q284" s="81"/>
      <c r="R284" s="93"/>
      <c r="S284" s="93"/>
      <c r="T284" s="93"/>
      <c r="U284" s="93"/>
      <c r="V284" s="52"/>
      <c r="W284" s="52"/>
      <c r="X284" s="52"/>
      <c r="Y284" s="52"/>
      <c r="Z284" s="51"/>
      <c r="AA284" s="76"/>
      <c r="AB284" s="76"/>
      <c r="AC284" s="77"/>
      <c r="AD284" s="83" t="s">
        <v>2104</v>
      </c>
      <c r="AE284" s="91" t="s">
        <v>2364</v>
      </c>
      <c r="AF284" s="83">
        <v>17152</v>
      </c>
      <c r="AG284" s="83">
        <v>136972</v>
      </c>
      <c r="AH284" s="83">
        <v>26034</v>
      </c>
      <c r="AI284" s="83">
        <v>94409</v>
      </c>
      <c r="AJ284" s="83"/>
      <c r="AK284" s="83" t="s">
        <v>2630</v>
      </c>
      <c r="AL284" s="83"/>
      <c r="AM284" s="88" t="str">
        <f>HYPERLINK("https://t.co/5ud3Qh3Lf1")</f>
        <v>https://t.co/5ud3Qh3Lf1</v>
      </c>
      <c r="AN284" s="83"/>
      <c r="AO284" s="85">
        <v>43796.123402777775</v>
      </c>
      <c r="AP284" s="88" t="str">
        <f>HYPERLINK("https://pbs.twimg.com/profile_banners/1199522589573554176/1593255528")</f>
        <v>https://pbs.twimg.com/profile_banners/1199522589573554176/1593255528</v>
      </c>
      <c r="AQ284" s="83" t="b">
        <v>1</v>
      </c>
      <c r="AR284" s="83" t="b">
        <v>0</v>
      </c>
      <c r="AS284" s="83" t="b">
        <v>0</v>
      </c>
      <c r="AT284" s="83"/>
      <c r="AU284" s="83">
        <v>348</v>
      </c>
      <c r="AV284" s="83"/>
      <c r="AW284" s="83" t="b">
        <v>0</v>
      </c>
      <c r="AX284" s="83" t="s">
        <v>2807</v>
      </c>
      <c r="AY284" s="88" t="str">
        <f>HYPERLINK("https://twitter.com/karluskap")</f>
        <v>https://twitter.com/karluskap</v>
      </c>
      <c r="AZ284" s="83" t="s">
        <v>65</v>
      </c>
      <c r="BA284" s="2"/>
      <c r="BB284" s="3"/>
      <c r="BC284" s="3"/>
      <c r="BD284" s="3"/>
      <c r="BE284" s="3"/>
    </row>
    <row r="285" spans="1:57" x14ac:dyDescent="0.2">
      <c r="A285" s="94" t="s">
        <v>499</v>
      </c>
      <c r="B285" s="95"/>
      <c r="C285" s="95"/>
      <c r="D285" s="96"/>
      <c r="E285" s="97"/>
      <c r="F285" s="110" t="str">
        <f>HYPERLINK("http://pbs.twimg.com/profile_images/1276538100718555136/IDNDlCLb_normal.jpg")</f>
        <v>http://pbs.twimg.com/profile_images/1276538100718555136/IDNDlCLb_normal.jpg</v>
      </c>
      <c r="G285" s="95"/>
      <c r="H285" s="98"/>
      <c r="I285" s="99"/>
      <c r="J285" s="99"/>
      <c r="K285" s="98" t="s">
        <v>3089</v>
      </c>
      <c r="L285" s="100"/>
      <c r="M285" s="101"/>
      <c r="N285" s="101"/>
      <c r="O285" s="102"/>
      <c r="P285" s="103"/>
      <c r="Q285" s="103"/>
      <c r="R285" s="104"/>
      <c r="S285" s="104"/>
      <c r="T285" s="104"/>
      <c r="U285" s="104"/>
      <c r="V285" s="105"/>
      <c r="W285" s="105"/>
      <c r="X285" s="105"/>
      <c r="Y285" s="105"/>
      <c r="Z285" s="106"/>
      <c r="AA285" s="107"/>
      <c r="AB285" s="107"/>
      <c r="AC285" s="108"/>
      <c r="AD285" s="83" t="s">
        <v>2105</v>
      </c>
      <c r="AE285" s="91" t="s">
        <v>2365</v>
      </c>
      <c r="AF285" s="83">
        <v>792</v>
      </c>
      <c r="AG285" s="83">
        <v>440</v>
      </c>
      <c r="AH285" s="83">
        <v>2549</v>
      </c>
      <c r="AI285" s="83">
        <v>5595</v>
      </c>
      <c r="AJ285" s="83"/>
      <c r="AK285" s="83" t="s">
        <v>2631</v>
      </c>
      <c r="AL285" s="83" t="s">
        <v>2806</v>
      </c>
      <c r="AM285" s="83"/>
      <c r="AN285" s="83"/>
      <c r="AO285" s="85">
        <v>43931.999479166669</v>
      </c>
      <c r="AP285" s="88" t="str">
        <f>HYPERLINK("https://pbs.twimg.com/profile_banners/1248762358672941056/1592081530")</f>
        <v>https://pbs.twimg.com/profile_banners/1248762358672941056/1592081530</v>
      </c>
      <c r="AQ285" s="83" t="b">
        <v>1</v>
      </c>
      <c r="AR285" s="83" t="b">
        <v>0</v>
      </c>
      <c r="AS285" s="83" t="b">
        <v>0</v>
      </c>
      <c r="AT285" s="83"/>
      <c r="AU285" s="83">
        <v>0</v>
      </c>
      <c r="AV285" s="83"/>
      <c r="AW285" s="83" t="b">
        <v>0</v>
      </c>
      <c r="AX285" s="83" t="s">
        <v>2807</v>
      </c>
      <c r="AY285" s="88" t="str">
        <f>HYPERLINK("https://twitter.com/abrahamwooster")</f>
        <v>https://twitter.com/abrahamwooster</v>
      </c>
      <c r="AZ285" s="83" t="s">
        <v>65</v>
      </c>
      <c r="BA285" s="2"/>
      <c r="BB285" s="3"/>
      <c r="BC285" s="3"/>
      <c r="BD285" s="3"/>
      <c r="BE285" s="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285" xr:uid="{00000000-0002-0000-0100-000000000000}"/>
    <dataValidation allowBlank="1" errorTitle="Invalid Vertex Visibility" error="You have entered an unrecognized vertex visibility.  Try selecting from the drop-down list instead." sqref="BA3" xr:uid="{00000000-0002-0000-0100-000001000000}"/>
    <dataValidation allowBlank="1" showErrorMessage="1" sqref="BA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285"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285"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285"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285"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285" xr:uid="{00000000-0002-0000-0100-000007000000}"/>
    <dataValidation allowBlank="1" showInputMessage="1" errorTitle="Invalid Vertex Image Key" promptTitle="Vertex Tooltip" prompt="Enter optional text that will pop up when the mouse is hovered over the vertex." sqref="K3:K285"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285"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285" xr:uid="{00000000-0002-0000-0100-00000A0000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285" xr:uid="{00000000-0002-0000-0100-00000B000000}"/>
    <dataValidation allowBlank="1" showInputMessage="1" promptTitle="Vertex Label Fill Color" prompt="To select an optional fill color for the Label shape, right-click and select Select Color on the right-click menu." sqref="I3:I285" xr:uid="{00000000-0002-0000-0100-00000C000000}"/>
    <dataValidation allowBlank="1" showInputMessage="1" errorTitle="Invalid Vertex Image Key" promptTitle="Vertex Image File" prompt="Enter the path to an image file.  Hover over the column header for examples." sqref="F3:F285" xr:uid="{00000000-0002-0000-0100-00000D000000}"/>
    <dataValidation allowBlank="1" showInputMessage="1" promptTitle="Vertex Color" prompt="To select an optional vertex color, right-click and select Select Color on the right-click menu." sqref="B3:B285"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285"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285"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285"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285" xr:uid="{00000000-0002-0000-0100-000012000000}">
      <formula1>ValidVertexLabelPositions</formula1>
    </dataValidation>
    <dataValidation allowBlank="1" showInputMessage="1" showErrorMessage="1" promptTitle="Vertex Name" prompt="Enter the name of the vertex." sqref="A3:A285" xr:uid="{00000000-0002-0000-0100-00001300000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baseColWidth="10" defaultColWidth="8.83203125" defaultRowHeight="15" x14ac:dyDescent="0.2"/>
  <cols>
    <col min="1" max="1" width="10.83203125" style="3" bestFit="1" customWidth="1"/>
    <col min="2" max="2" width="16.83203125" style="3" bestFit="1" customWidth="1"/>
    <col min="4" max="5" width="9.1640625" customWidth="1"/>
  </cols>
  <sheetData>
    <row r="1" spans="1:1" x14ac:dyDescent="0.2">
      <c r="A1" s="3" t="s">
        <v>49</v>
      </c>
    </row>
    <row r="2" spans="1:1" ht="15" customHeight="1" x14ac:dyDescent="0.2"/>
    <row r="3" spans="1:1" ht="15" customHeight="1" x14ac:dyDescent="0.2">
      <c r="A3" s="32" t="s">
        <v>50</v>
      </c>
    </row>
    <row r="21" spans="4:4" x14ac:dyDescent="0.2">
      <c r="D21" s="7"/>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10"/>
  <sheetViews>
    <sheetView workbookViewId="0">
      <pane ySplit="2" topLeftCell="A3" activePane="bottomLeft" state="frozen"/>
      <selection pane="bottomLeft" activeCell="A3" sqref="A3"/>
    </sheetView>
  </sheetViews>
  <sheetFormatPr baseColWidth="10" defaultColWidth="8.83203125" defaultRowHeight="15" x14ac:dyDescent="0.2"/>
  <cols>
    <col min="1" max="1" width="9.5" style="1" bestFit="1" customWidth="1"/>
    <col min="2" max="2" width="14.33203125" bestFit="1" customWidth="1"/>
    <col min="3" max="3" width="15" bestFit="1" customWidth="1"/>
    <col min="4" max="4" width="11.1640625" bestFit="1" customWidth="1"/>
    <col min="5" max="5" width="13" bestFit="1" customWidth="1"/>
    <col min="6" max="6" width="8" bestFit="1" customWidth="1"/>
    <col min="7" max="8" width="13.5" hidden="1" customWidth="1"/>
    <col min="9" max="9" width="11" hidden="1" customWidth="1"/>
    <col min="10" max="10" width="12.5" hidden="1" customWidth="1"/>
    <col min="11" max="11" width="11" hidden="1" customWidth="1"/>
    <col min="12" max="12" width="9.6640625" hidden="1" customWidth="1"/>
    <col min="13" max="13" width="13.1640625" hidden="1" customWidth="1"/>
    <col min="14" max="15" width="8.5" hidden="1" customWidth="1"/>
    <col min="16" max="16" width="18.33203125" hidden="1" customWidth="1"/>
    <col min="17" max="17" width="14.83203125" hidden="1" customWidth="1"/>
    <col min="18" max="18" width="14.5" hidden="1" customWidth="1"/>
    <col min="19" max="21" width="24.1640625" hidden="1" customWidth="1"/>
    <col min="22" max="22" width="21.33203125" hidden="1" customWidth="1"/>
    <col min="23" max="23" width="19.33203125" hidden="1" customWidth="1"/>
    <col min="24" max="24" width="10" hidden="1" customWidth="1"/>
    <col min="25" max="25" width="13" customWidth="1"/>
  </cols>
  <sheetData>
    <row r="1" spans="1:24" x14ac:dyDescent="0.2">
      <c r="B1" s="56" t="s">
        <v>39</v>
      </c>
      <c r="C1" s="57"/>
      <c r="D1" s="57"/>
      <c r="E1" s="58"/>
      <c r="F1" s="55" t="s">
        <v>43</v>
      </c>
      <c r="G1" s="59" t="s">
        <v>44</v>
      </c>
      <c r="H1" s="60"/>
      <c r="I1" s="61" t="s">
        <v>40</v>
      </c>
      <c r="J1" s="62"/>
      <c r="K1" s="63" t="s">
        <v>42</v>
      </c>
      <c r="L1" s="64"/>
      <c r="M1" s="64"/>
      <c r="N1" s="64"/>
      <c r="O1" s="64"/>
      <c r="P1" s="64"/>
      <c r="Q1" s="64"/>
      <c r="R1" s="64"/>
      <c r="S1" s="64"/>
      <c r="T1" s="64"/>
      <c r="U1" s="64"/>
      <c r="V1" s="64"/>
      <c r="W1" s="64"/>
      <c r="X1" s="64"/>
    </row>
    <row r="2" spans="1:24" s="13" customFormat="1" ht="30" customHeight="1" x14ac:dyDescent="0.2">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2">
      <c r="A3" s="14"/>
      <c r="B3" s="15"/>
      <c r="C3" s="15"/>
      <c r="D3" s="15"/>
      <c r="E3" s="15"/>
      <c r="F3" s="16"/>
      <c r="G3" s="65"/>
      <c r="H3" s="65"/>
      <c r="I3" s="53"/>
      <c r="J3" s="53"/>
      <c r="K3" s="48"/>
      <c r="L3" s="48"/>
      <c r="M3" s="48"/>
      <c r="N3" s="48"/>
      <c r="O3" s="48"/>
      <c r="P3" s="48"/>
      <c r="Q3" s="48"/>
      <c r="R3" s="48"/>
      <c r="S3" s="48"/>
      <c r="T3" s="48"/>
      <c r="U3" s="48"/>
      <c r="V3" s="48"/>
      <c r="W3" s="49"/>
      <c r="X3" s="49"/>
    </row>
    <row r="10" spans="1:24" ht="14.25" customHeight="1" x14ac:dyDescent="0.2"/>
  </sheetData>
  <dataConsolidate/>
  <dataValidations count="8">
    <dataValidation allowBlank="1" showInputMessage="1" promptTitle="Group Vertex Color" prompt="To select a color to use for all vertices in the group, right-click and select Select Color on the right-click menu." sqref="B3"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xr:uid="{00000000-0002-0000-0300-000001000000}">
      <formula1>ValidGroupShapes</formula1>
    </dataValidation>
    <dataValidation allowBlank="1" showInputMessage="1" showErrorMessage="1" promptTitle="Group Name" prompt="Enter the name of the group." sqref="A3"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xr:uid="{00000000-0002-0000-0300-000003000000}">
      <formula1>ValidBooleansDefaultFalse</formula1>
    </dataValidation>
    <dataValidation allowBlank="1" sqref="K3"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2"/>
  <sheetViews>
    <sheetView workbookViewId="0">
      <selection activeCell="A2" sqref="A2"/>
    </sheetView>
  </sheetViews>
  <sheetFormatPr baseColWidth="10" defaultColWidth="8.83203125" defaultRowHeight="15" x14ac:dyDescent="0.2"/>
  <cols>
    <col min="1" max="1" width="9.5" style="1" bestFit="1" customWidth="1"/>
    <col min="2" max="2" width="9.1640625" style="1"/>
    <col min="3" max="3" width="11.5" bestFit="1" customWidth="1"/>
    <col min="4" max="4" width="9.1640625" customWidth="1"/>
  </cols>
  <sheetData>
    <row r="1" spans="1:3" x14ac:dyDescent="0.2">
      <c r="A1" s="1" t="s">
        <v>144</v>
      </c>
      <c r="B1" s="1" t="s">
        <v>5</v>
      </c>
      <c r="C1" s="1" t="s">
        <v>147</v>
      </c>
    </row>
    <row r="2" spans="1:3" x14ac:dyDescent="0.2">
      <c r="C2" s="3"/>
    </row>
  </sheetData>
  <dataConsolidate/>
  <dataValidations xWindow="58" yWindow="226" count="3">
    <dataValidation allowBlank="1" showInputMessage="1" showErrorMessage="1" promptTitle="Group Name" prompt="Enter the name of the group.  The group name must also be entered on the Groups worksheet." sqref="A2" xr:uid="{00000000-0002-0000-0400-000000000000}"/>
    <dataValidation allowBlank="1" showInputMessage="1" showErrorMessage="1" promptTitle="Vertex Name" prompt="Enter the name of a vertex to include in the group." sqref="B2" xr:uid="{00000000-0002-0000-0400-000001000000}"/>
    <dataValidation allowBlank="1" showInputMessage="1" promptTitle="Vertex ID" prompt="This is the value of the hidden ID cell in the Vertices worksheet.  It gets filled in by the items on the NodeXL, Analysis, Groups menu." sqref="C2"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67"/>
  <sheetViews>
    <sheetView topLeftCell="A3" workbookViewId="0">
      <selection activeCell="Y49" sqref="Y49"/>
    </sheetView>
  </sheetViews>
  <sheetFormatPr baseColWidth="10" defaultColWidth="8.83203125" defaultRowHeight="15" x14ac:dyDescent="0.2"/>
  <cols>
    <col min="1" max="1" width="43.1640625" customWidth="1"/>
    <col min="2" max="2" width="13.83203125" customWidth="1"/>
    <col min="3" max="3" width="9.1640625" customWidth="1"/>
    <col min="4" max="4" width="12.83203125" hidden="1" customWidth="1"/>
    <col min="5" max="5" width="19.6640625" hidden="1" customWidth="1"/>
    <col min="6" max="6" width="15.5" hidden="1" customWidth="1"/>
    <col min="7" max="7" width="22.1640625" hidden="1" customWidth="1"/>
    <col min="8" max="8" width="17.1640625" hidden="1" customWidth="1"/>
    <col min="9" max="9" width="23.83203125" hidden="1" customWidth="1"/>
    <col min="10" max="10" width="28.33203125" hidden="1" customWidth="1"/>
    <col min="11" max="11" width="34.83203125" hidden="1" customWidth="1"/>
    <col min="12" max="12" width="25" hidden="1" customWidth="1"/>
    <col min="13" max="13" width="31.5" hidden="1" customWidth="1"/>
    <col min="14" max="14" width="26.5" hidden="1" customWidth="1"/>
    <col min="15" max="17" width="33.33203125" hidden="1" customWidth="1"/>
    <col min="18" max="18" width="26.5" hidden="1" customWidth="1"/>
    <col min="19" max="19" width="33" hidden="1" customWidth="1"/>
    <col min="20" max="20" width="19.5" hidden="1" customWidth="1"/>
    <col min="21" max="21" width="26.1640625" hidden="1" customWidth="1"/>
    <col min="22" max="22" width="9.1640625" hidden="1" customWidth="1"/>
    <col min="23" max="23" width="34.1640625" hidden="1" customWidth="1"/>
    <col min="24" max="24" width="25.1640625" hidden="1" customWidth="1"/>
  </cols>
  <sheetData>
    <row r="1" spans="1:24" ht="15" customHeight="1" thickBot="1" x14ac:dyDescent="0.25">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6" thickTop="1" x14ac:dyDescent="0.2">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8" ca="1" si="0">COUNTIF(INDIRECT(DynamicFilterSourceColumnRange), "&gt;= " &amp; T2) - COUNTIF(INDIRECT(DynamicFilterSourceColumnRange), "&gt;=" &amp; T3)</f>
        <v>#REF!</v>
      </c>
      <c r="W2" t="s">
        <v>124</v>
      </c>
      <c r="X2">
        <f>ROWS(HistogramBins[Degree Bin]) - 1</f>
        <v>48</v>
      </c>
    </row>
    <row r="3" spans="1:24" x14ac:dyDescent="0.2">
      <c r="D3" s="34">
        <f t="shared" ref="D3:D26" si="1">D2+($D$50-$D$2)/BinDivisor</f>
        <v>0</v>
      </c>
      <c r="E3" s="3">
        <f>COUNTIF(Vertices[Degree], "&gt;= " &amp; D3) - COUNTIF(Vertices[Degree], "&gt;=" &amp; D4)</f>
        <v>0</v>
      </c>
      <c r="F3" s="41">
        <f t="shared" ref="F3:F26" si="2">F2+($F$50-$F$2)/BinDivisor</f>
        <v>0</v>
      </c>
      <c r="G3" s="42">
        <f>COUNTIF(Vertices[In-Degree], "&gt;= " &amp; F3) - COUNTIF(Vertices[In-Degree], "&gt;=" &amp; F4)</f>
        <v>0</v>
      </c>
      <c r="H3" s="41">
        <f t="shared" ref="H3:H26" si="3">H2+($H$50-$H$2)/BinDivisor</f>
        <v>0</v>
      </c>
      <c r="I3" s="42">
        <f>COUNTIF(Vertices[Out-Degree], "&gt;= " &amp; H3) - COUNTIF(Vertices[Out-Degree], "&gt;=" &amp; H4)</f>
        <v>0</v>
      </c>
      <c r="J3" s="41">
        <f t="shared" ref="J3:J26" si="4">J2+($J$50-$J$2)/BinDivisor</f>
        <v>0</v>
      </c>
      <c r="K3" s="42">
        <f>COUNTIF(Vertices[Betweenness Centrality], "&gt;= " &amp; J3) - COUNTIF(Vertices[Betweenness Centrality], "&gt;=" &amp; J4)</f>
        <v>0</v>
      </c>
      <c r="L3" s="41">
        <f t="shared" ref="L3:L26" si="5">L2+($L$50-$L$2)/BinDivisor</f>
        <v>0</v>
      </c>
      <c r="M3" s="42">
        <f>COUNTIF(Vertices[Closeness Centrality], "&gt;= " &amp; L3) - COUNTIF(Vertices[Closeness Centrality], "&gt;=" &amp; L4)</f>
        <v>0</v>
      </c>
      <c r="N3" s="41">
        <f t="shared" ref="N3:N26" si="6">N2+($N$50-$N$2)/BinDivisor</f>
        <v>0</v>
      </c>
      <c r="O3" s="42">
        <f>COUNTIF(Vertices[Eigenvector Centrality], "&gt;= " &amp; N3) - COUNTIF(Vertices[Eigenvector Centrality], "&gt;=" &amp; N4)</f>
        <v>0</v>
      </c>
      <c r="P3" s="41">
        <f t="shared" ref="P3:P26" si="7">P2+($P$50-$P$2)/BinDivisor</f>
        <v>0</v>
      </c>
      <c r="Q3" s="42">
        <f>COUNTIF(Vertices[PageRank], "&gt;= " &amp; P3) - COUNTIF(Vertices[PageRank], "&gt;=" &amp; P4)</f>
        <v>0</v>
      </c>
      <c r="R3" s="41">
        <f t="shared" ref="R3:R26" si="8">R2+($R$50-$R$2)/BinDivisor</f>
        <v>0</v>
      </c>
      <c r="S3" s="46">
        <f>COUNTIF(Vertices[Clustering Coefficient], "&gt;= " &amp; R3) - COUNTIF(Vertices[Clustering Coefficient], "&gt;=" &amp; R4)</f>
        <v>0</v>
      </c>
      <c r="T3" s="41" t="e">
        <f t="shared" ref="T3:T26" ca="1" si="9">T2+($T$50-$T$2)/BinDivisor</f>
        <v>#REF!</v>
      </c>
      <c r="U3" s="42" t="e">
        <f t="shared" ca="1" si="0"/>
        <v>#REF!</v>
      </c>
      <c r="W3" t="s">
        <v>125</v>
      </c>
      <c r="X3" t="s">
        <v>85</v>
      </c>
    </row>
    <row r="4" spans="1:24" x14ac:dyDescent="0.2">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2">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2">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2">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2">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2">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2">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2">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2">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2">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2">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2">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2">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4:21" x14ac:dyDescent="0.2">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4:21" x14ac:dyDescent="0.2">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4:21" x14ac:dyDescent="0.2">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4:21" x14ac:dyDescent="0.2">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4:21" x14ac:dyDescent="0.2">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4:21" x14ac:dyDescent="0.2">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4:21" x14ac:dyDescent="0.2">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4:21" x14ac:dyDescent="0.2">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4:21" x14ac:dyDescent="0.2">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4:21" x14ac:dyDescent="0.2">
      <c r="D26" s="34">
        <f t="shared" si="1"/>
        <v>0</v>
      </c>
      <c r="E26" s="3">
        <f>COUNTIF(Vertices[Degree], "&gt;= " &amp; D26) - COUNTIF(Vertices[Degree], "&gt;=" &amp; D28)</f>
        <v>0</v>
      </c>
      <c r="F26" s="39">
        <f t="shared" si="2"/>
        <v>0</v>
      </c>
      <c r="G26" s="40">
        <f>COUNTIF(Vertices[In-Degree], "&gt;= " &amp; F26) - COUNTIF(Vertices[In-Degree], "&gt;=" &amp; F28)</f>
        <v>0</v>
      </c>
      <c r="H26" s="39">
        <f t="shared" si="3"/>
        <v>0</v>
      </c>
      <c r="I26" s="40">
        <f>COUNTIF(Vertices[Out-Degree], "&gt;= " &amp; H26) - COUNTIF(Vertices[Out-Degree], "&gt;=" &amp; H28)</f>
        <v>0</v>
      </c>
      <c r="J26" s="39">
        <f t="shared" si="4"/>
        <v>0</v>
      </c>
      <c r="K26" s="40">
        <f>COUNTIF(Vertices[Betweenness Centrality], "&gt;= " &amp; J26) - COUNTIF(Vertices[Betweenness Centrality], "&gt;=" &amp; J28)</f>
        <v>0</v>
      </c>
      <c r="L26" s="39">
        <f t="shared" si="5"/>
        <v>0</v>
      </c>
      <c r="M26" s="40">
        <f>COUNTIF(Vertices[Closeness Centrality], "&gt;= " &amp; L26) - COUNTIF(Vertices[Closeness Centrality], "&gt;=" &amp; L28)</f>
        <v>0</v>
      </c>
      <c r="N26" s="39">
        <f t="shared" si="6"/>
        <v>0</v>
      </c>
      <c r="O26" s="40">
        <f>COUNTIF(Vertices[Eigenvector Centrality], "&gt;= " &amp; N26) - COUNTIF(Vertices[Eigenvector Centrality], "&gt;=" &amp; N28)</f>
        <v>0</v>
      </c>
      <c r="P26" s="39">
        <f t="shared" si="7"/>
        <v>0</v>
      </c>
      <c r="Q26" s="40">
        <f>COUNTIF(Vertices[PageRank], "&gt;= " &amp; P26) - COUNTIF(Vertices[PageRank], "&gt;=" &amp; P28)</f>
        <v>0</v>
      </c>
      <c r="R26" s="39">
        <f t="shared" si="8"/>
        <v>0</v>
      </c>
      <c r="S26" s="45">
        <f>COUNTIF(Vertices[Clustering Coefficient], "&gt;= " &amp; R26) - COUNTIF(Vertices[Clustering Coefficient], "&gt;=" &amp; R28)</f>
        <v>0</v>
      </c>
      <c r="T26" s="39" t="e">
        <f t="shared" ca="1" si="9"/>
        <v>#REF!</v>
      </c>
      <c r="U26" s="40" t="e">
        <f ca="1">COUNTIF(INDIRECT(DynamicFilterSourceColumnRange), "&gt;= " &amp; T26) - COUNTIF(INDIRECT(DynamicFilterSourceColumnRange), "&gt;=" &amp; T28)</f>
        <v>#REF!</v>
      </c>
    </row>
    <row r="27" spans="4:21" x14ac:dyDescent="0.2">
      <c r="D27" s="34"/>
      <c r="E27" s="3">
        <f>COUNTIF(Vertices[Degree], "&gt;= " &amp; D27) - COUNTIF(Vertices[Degree], "&gt;=" &amp; D28)</f>
        <v>0</v>
      </c>
      <c r="F27" s="66"/>
      <c r="G27" s="67">
        <f>COUNTIF(Vertices[In-Degree], "&gt;= " &amp; F27) - COUNTIF(Vertices[In-Degree], "&gt;=" &amp; F28)</f>
        <v>0</v>
      </c>
      <c r="H27" s="66"/>
      <c r="I27" s="67">
        <f>COUNTIF(Vertices[Out-Degree], "&gt;= " &amp; H27) - COUNTIF(Vertices[Out-Degree], "&gt;=" &amp; H28)</f>
        <v>0</v>
      </c>
      <c r="J27" s="66"/>
      <c r="K27" s="67">
        <f>COUNTIF(Vertices[Betweenness Centrality], "&gt;= " &amp; J27) - COUNTIF(Vertices[Betweenness Centrality], "&gt;=" &amp; J28)</f>
        <v>0</v>
      </c>
      <c r="L27" s="66"/>
      <c r="M27" s="67">
        <f>COUNTIF(Vertices[Closeness Centrality], "&gt;= " &amp; L27) - COUNTIF(Vertices[Closeness Centrality], "&gt;=" &amp; L28)</f>
        <v>0</v>
      </c>
      <c r="N27" s="66"/>
      <c r="O27" s="67">
        <f>COUNTIF(Vertices[Eigenvector Centrality], "&gt;= " &amp; N27) - COUNTIF(Vertices[Eigenvector Centrality], "&gt;=" &amp; N28)</f>
        <v>0</v>
      </c>
      <c r="P27" s="66"/>
      <c r="Q27" s="67">
        <f>COUNTIF(Vertices[Eigenvector Centrality], "&gt;= " &amp; P27) - COUNTIF(Vertices[Eigenvector Centrality], "&gt;=" &amp; P28)</f>
        <v>0</v>
      </c>
      <c r="R27" s="66"/>
      <c r="S27" s="68">
        <f>COUNTIF(Vertices[Clustering Coefficient], "&gt;= " &amp; R27) - COUNTIF(Vertices[Clustering Coefficient], "&gt;=" &amp; R28)</f>
        <v>0</v>
      </c>
      <c r="T27" s="66"/>
      <c r="U27" s="67">
        <f ca="1">COUNTIF(Vertices[Clustering Coefficient], "&gt;= " &amp; T27) - COUNTIF(Vertices[Clustering Coefficient], "&gt;=" &amp; T28)</f>
        <v>0</v>
      </c>
    </row>
    <row r="28" spans="4:21" x14ac:dyDescent="0.2">
      <c r="D28" s="34">
        <f>D26+($D$50-$D$2)/BinDivisor</f>
        <v>0</v>
      </c>
      <c r="E28" s="3">
        <f>COUNTIF(Vertices[Degree], "&gt;= " &amp; D28) - COUNTIF(Vertices[Degree], "&gt;=" &amp; D42)</f>
        <v>0</v>
      </c>
      <c r="F28" s="41">
        <f>F26+($F$50-$F$2)/BinDivisor</f>
        <v>0</v>
      </c>
      <c r="G28" s="42">
        <f>COUNTIF(Vertices[In-Degree], "&gt;= " &amp; F28) - COUNTIF(Vertices[In-Degree], "&gt;=" &amp; F42)</f>
        <v>0</v>
      </c>
      <c r="H28" s="41">
        <f>H26+($H$50-$H$2)/BinDivisor</f>
        <v>0</v>
      </c>
      <c r="I28" s="42">
        <f>COUNTIF(Vertices[Out-Degree], "&gt;= " &amp; H28) - COUNTIF(Vertices[Out-Degree], "&gt;=" &amp; H42)</f>
        <v>0</v>
      </c>
      <c r="J28" s="41">
        <f>J26+($J$50-$J$2)/BinDivisor</f>
        <v>0</v>
      </c>
      <c r="K28" s="42">
        <f>COUNTIF(Vertices[Betweenness Centrality], "&gt;= " &amp; J28) - COUNTIF(Vertices[Betweenness Centrality], "&gt;=" &amp; J42)</f>
        <v>0</v>
      </c>
      <c r="L28" s="41">
        <f>L26+($L$50-$L$2)/BinDivisor</f>
        <v>0</v>
      </c>
      <c r="M28" s="42">
        <f>COUNTIF(Vertices[Closeness Centrality], "&gt;= " &amp; L28) - COUNTIF(Vertices[Closeness Centrality], "&gt;=" &amp; L42)</f>
        <v>0</v>
      </c>
      <c r="N28" s="41">
        <f>N26+($N$50-$N$2)/BinDivisor</f>
        <v>0</v>
      </c>
      <c r="O28" s="42">
        <f>COUNTIF(Vertices[Eigenvector Centrality], "&gt;= " &amp; N28) - COUNTIF(Vertices[Eigenvector Centrality], "&gt;=" &amp; N42)</f>
        <v>0</v>
      </c>
      <c r="P28" s="41">
        <f>P26+($P$50-$P$2)/BinDivisor</f>
        <v>0</v>
      </c>
      <c r="Q28" s="42">
        <f>COUNTIF(Vertices[PageRank], "&gt;= " &amp; P28) - COUNTIF(Vertices[PageRank], "&gt;=" &amp; P42)</f>
        <v>0</v>
      </c>
      <c r="R28" s="41">
        <f>R26+($R$50-$R$2)/BinDivisor</f>
        <v>0</v>
      </c>
      <c r="S28" s="46">
        <f>COUNTIF(Vertices[Clustering Coefficient], "&gt;= " &amp; R28) - COUNTIF(Vertices[Clustering Coefficient], "&gt;=" &amp; R42)</f>
        <v>0</v>
      </c>
      <c r="T28" s="41" t="e">
        <f ca="1">T26+($T$50-$T$2)/BinDivisor</f>
        <v>#REF!</v>
      </c>
      <c r="U28" s="42" t="e">
        <f ca="1">COUNTIF(INDIRECT(DynamicFilterSourceColumnRange), "&gt;= " &amp; T28) - COUNTIF(INDIRECT(DynamicFilterSourceColumnRange), "&gt;=" &amp; T42)</f>
        <v>#REF!</v>
      </c>
    </row>
    <row r="29" spans="4:21" x14ac:dyDescent="0.2">
      <c r="D29" s="34"/>
      <c r="E29" s="3">
        <f>COUNTIF(Vertices[Degree], "&gt;= " &amp; D29) - COUNTIF(Vertices[Degree], "&gt;=" &amp; D30)</f>
        <v>0</v>
      </c>
      <c r="F29" s="66"/>
      <c r="G29" s="67">
        <f>COUNTIF(Vertices[In-Degree], "&gt;= " &amp; F29) - COUNTIF(Vertices[In-Degree], "&gt;=" &amp; F30)</f>
        <v>0</v>
      </c>
      <c r="H29" s="66"/>
      <c r="I29" s="67">
        <f>COUNTIF(Vertices[Out-Degree], "&gt;= " &amp; H29) - COUNTIF(Vertices[Out-Degree], "&gt;=" &amp; H30)</f>
        <v>0</v>
      </c>
      <c r="J29" s="66"/>
      <c r="K29" s="67">
        <f>COUNTIF(Vertices[Betweenness Centrality], "&gt;= " &amp; J29) - COUNTIF(Vertices[Betweenness Centrality], "&gt;=" &amp; J30)</f>
        <v>0</v>
      </c>
      <c r="L29" s="66"/>
      <c r="M29" s="67">
        <f>COUNTIF(Vertices[Closeness Centrality], "&gt;= " &amp; L29) - COUNTIF(Vertices[Closeness Centrality], "&gt;=" &amp; L30)</f>
        <v>0</v>
      </c>
      <c r="N29" s="66"/>
      <c r="O29" s="67">
        <f>COUNTIF(Vertices[Eigenvector Centrality], "&gt;= " &amp; N29) - COUNTIF(Vertices[Eigenvector Centrality], "&gt;=" &amp; N30)</f>
        <v>0</v>
      </c>
      <c r="P29" s="66"/>
      <c r="Q29" s="67">
        <f>COUNTIF(Vertices[Eigenvector Centrality], "&gt;= " &amp; P29) - COUNTIF(Vertices[Eigenvector Centrality], "&gt;=" &amp; P30)</f>
        <v>0</v>
      </c>
      <c r="R29" s="66"/>
      <c r="S29" s="68">
        <f>COUNTIF(Vertices[Clustering Coefficient], "&gt;= " &amp; R29) - COUNTIF(Vertices[Clustering Coefficient], "&gt;=" &amp; R30)</f>
        <v>0</v>
      </c>
      <c r="T29" s="66"/>
      <c r="U29" s="67">
        <f>COUNTIF(Vertices[Clustering Coefficient], "&gt;= " &amp; T29) - COUNTIF(Vertices[Clustering Coefficient], "&gt;=" &amp; T30)</f>
        <v>0</v>
      </c>
    </row>
    <row r="30" spans="4:21" x14ac:dyDescent="0.2">
      <c r="D30" s="34"/>
      <c r="E30" s="3">
        <f>COUNTIF(Vertices[Degree], "&gt;= " &amp; D30) - COUNTIF(Vertices[Degree], "&gt;=" &amp; D31)</f>
        <v>0</v>
      </c>
      <c r="F30" s="66"/>
      <c r="G30" s="67">
        <f>COUNTIF(Vertices[In-Degree], "&gt;= " &amp; F30) - COUNTIF(Vertices[In-Degree], "&gt;=" &amp; F31)</f>
        <v>0</v>
      </c>
      <c r="H30" s="66"/>
      <c r="I30" s="67">
        <f>COUNTIF(Vertices[Out-Degree], "&gt;= " &amp; H30) - COUNTIF(Vertices[Out-Degree], "&gt;=" &amp; H31)</f>
        <v>0</v>
      </c>
      <c r="J30" s="66"/>
      <c r="K30" s="67">
        <f>COUNTIF(Vertices[Betweenness Centrality], "&gt;= " &amp; J30) - COUNTIF(Vertices[Betweenness Centrality], "&gt;=" &amp; J31)</f>
        <v>0</v>
      </c>
      <c r="L30" s="66"/>
      <c r="M30" s="67">
        <f>COUNTIF(Vertices[Closeness Centrality], "&gt;= " &amp; L30) - COUNTIF(Vertices[Closeness Centrality], "&gt;=" &amp; L31)</f>
        <v>0</v>
      </c>
      <c r="N30" s="66"/>
      <c r="O30" s="67">
        <f>COUNTIF(Vertices[Eigenvector Centrality], "&gt;= " &amp; N30) - COUNTIF(Vertices[Eigenvector Centrality], "&gt;=" &amp; N31)</f>
        <v>0</v>
      </c>
      <c r="P30" s="66"/>
      <c r="Q30" s="67">
        <f>COUNTIF(Vertices[Eigenvector Centrality], "&gt;= " &amp; P30) - COUNTIF(Vertices[Eigenvector Centrality], "&gt;=" &amp; P31)</f>
        <v>0</v>
      </c>
      <c r="R30" s="66"/>
      <c r="S30" s="68">
        <f>COUNTIF(Vertices[Clustering Coefficient], "&gt;= " &amp; R30) - COUNTIF(Vertices[Clustering Coefficient], "&gt;=" &amp; R31)</f>
        <v>0</v>
      </c>
      <c r="T30" s="66"/>
      <c r="U30" s="67">
        <f>COUNTIF(Vertices[Clustering Coefficient], "&gt;= " &amp; T30) - COUNTIF(Vertices[Clustering Coefficient], "&gt;=" &amp; T31)</f>
        <v>0</v>
      </c>
    </row>
    <row r="31" spans="4:21" x14ac:dyDescent="0.2">
      <c r="D31" s="34"/>
      <c r="E31" s="3">
        <f>COUNTIF(Vertices[Degree], "&gt;= " &amp; D31) - COUNTIF(Vertices[Degree], "&gt;=" &amp; D32)</f>
        <v>0</v>
      </c>
      <c r="F31" s="66"/>
      <c r="G31" s="67">
        <f>COUNTIF(Vertices[In-Degree], "&gt;= " &amp; F31) - COUNTIF(Vertices[In-Degree], "&gt;=" &amp; F32)</f>
        <v>0</v>
      </c>
      <c r="H31" s="66"/>
      <c r="I31" s="67">
        <f>COUNTIF(Vertices[Out-Degree], "&gt;= " &amp; H31) - COUNTIF(Vertices[Out-Degree], "&gt;=" &amp; H32)</f>
        <v>0</v>
      </c>
      <c r="J31" s="66"/>
      <c r="K31" s="67">
        <f>COUNTIF(Vertices[Betweenness Centrality], "&gt;= " &amp; J31) - COUNTIF(Vertices[Betweenness Centrality], "&gt;=" &amp; J32)</f>
        <v>0</v>
      </c>
      <c r="L31" s="66"/>
      <c r="M31" s="67">
        <f>COUNTIF(Vertices[Closeness Centrality], "&gt;= " &amp; L31) - COUNTIF(Vertices[Closeness Centrality], "&gt;=" &amp; L32)</f>
        <v>0</v>
      </c>
      <c r="N31" s="66"/>
      <c r="O31" s="67">
        <f>COUNTIF(Vertices[Eigenvector Centrality], "&gt;= " &amp; N31) - COUNTIF(Vertices[Eigenvector Centrality], "&gt;=" &amp; N32)</f>
        <v>0</v>
      </c>
      <c r="P31" s="66"/>
      <c r="Q31" s="67">
        <f>COUNTIF(Vertices[Eigenvector Centrality], "&gt;= " &amp; P31) - COUNTIF(Vertices[Eigenvector Centrality], "&gt;=" &amp; P32)</f>
        <v>0</v>
      </c>
      <c r="R31" s="66"/>
      <c r="S31" s="68">
        <f>COUNTIF(Vertices[Clustering Coefficient], "&gt;= " &amp; R31) - COUNTIF(Vertices[Clustering Coefficient], "&gt;=" &amp; R32)</f>
        <v>0</v>
      </c>
      <c r="T31" s="66"/>
      <c r="U31" s="67">
        <f>COUNTIF(Vertices[Clustering Coefficient], "&gt;= " &amp; T31) - COUNTIF(Vertices[Clustering Coefficient], "&gt;=" &amp; T32)</f>
        <v>0</v>
      </c>
    </row>
    <row r="32" spans="4:21" x14ac:dyDescent="0.2">
      <c r="D32" s="34"/>
      <c r="E32" s="3">
        <f>COUNTIF(Vertices[Degree], "&gt;= " &amp; D32) - COUNTIF(Vertices[Degree], "&gt;=" &amp; D33)</f>
        <v>0</v>
      </c>
      <c r="F32" s="66"/>
      <c r="G32" s="67">
        <f>COUNTIF(Vertices[In-Degree], "&gt;= " &amp; F32) - COUNTIF(Vertices[In-Degree], "&gt;=" &amp; F33)</f>
        <v>0</v>
      </c>
      <c r="H32" s="66"/>
      <c r="I32" s="67">
        <f>COUNTIF(Vertices[Out-Degree], "&gt;= " &amp; H32) - COUNTIF(Vertices[Out-Degree], "&gt;=" &amp; H33)</f>
        <v>0</v>
      </c>
      <c r="J32" s="66"/>
      <c r="K32" s="67">
        <f>COUNTIF(Vertices[Betweenness Centrality], "&gt;= " &amp; J32) - COUNTIF(Vertices[Betweenness Centrality], "&gt;=" &amp; J33)</f>
        <v>0</v>
      </c>
      <c r="L32" s="66"/>
      <c r="M32" s="67">
        <f>COUNTIF(Vertices[Closeness Centrality], "&gt;= " &amp; L32) - COUNTIF(Vertices[Closeness Centrality], "&gt;=" &amp; L33)</f>
        <v>0</v>
      </c>
      <c r="N32" s="66"/>
      <c r="O32" s="67">
        <f>COUNTIF(Vertices[Eigenvector Centrality], "&gt;= " &amp; N32) - COUNTIF(Vertices[Eigenvector Centrality], "&gt;=" &amp; N33)</f>
        <v>0</v>
      </c>
      <c r="P32" s="66"/>
      <c r="Q32" s="67">
        <f>COUNTIF(Vertices[Eigenvector Centrality], "&gt;= " &amp; P32) - COUNTIF(Vertices[Eigenvector Centrality], "&gt;=" &amp; P33)</f>
        <v>0</v>
      </c>
      <c r="R32" s="66"/>
      <c r="S32" s="68">
        <f>COUNTIF(Vertices[Clustering Coefficient], "&gt;= " &amp; R32) - COUNTIF(Vertices[Clustering Coefficient], "&gt;=" &amp; R33)</f>
        <v>0</v>
      </c>
      <c r="T32" s="66"/>
      <c r="U32" s="67">
        <f>COUNTIF(Vertices[Clustering Coefficient], "&gt;= " &amp; T32) - COUNTIF(Vertices[Clustering Coefficient], "&gt;=" &amp; T33)</f>
        <v>0</v>
      </c>
    </row>
    <row r="33" spans="4:21" x14ac:dyDescent="0.2">
      <c r="D33" s="34"/>
      <c r="E33" s="3">
        <f>COUNTIF(Vertices[Degree], "&gt;= " &amp; D33) - COUNTIF(Vertices[Degree], "&gt;=" &amp; D38)</f>
        <v>0</v>
      </c>
      <c r="F33" s="66"/>
      <c r="G33" s="67">
        <f>COUNTIF(Vertices[In-Degree], "&gt;= " &amp; F33) - COUNTIF(Vertices[In-Degree], "&gt;=" &amp; F38)</f>
        <v>0</v>
      </c>
      <c r="H33" s="66"/>
      <c r="I33" s="67">
        <f>COUNTIF(Vertices[Out-Degree], "&gt;= " &amp; H33) - COUNTIF(Vertices[Out-Degree], "&gt;=" &amp; H38)</f>
        <v>0</v>
      </c>
      <c r="J33" s="66"/>
      <c r="K33" s="67">
        <f>COUNTIF(Vertices[Betweenness Centrality], "&gt;= " &amp; J33) - COUNTIF(Vertices[Betweenness Centrality], "&gt;=" &amp; J38)</f>
        <v>0</v>
      </c>
      <c r="L33" s="66"/>
      <c r="M33" s="67">
        <f>COUNTIF(Vertices[Closeness Centrality], "&gt;= " &amp; L33) - COUNTIF(Vertices[Closeness Centrality], "&gt;=" &amp; L38)</f>
        <v>0</v>
      </c>
      <c r="N33" s="66"/>
      <c r="O33" s="67">
        <f>COUNTIF(Vertices[Eigenvector Centrality], "&gt;= " &amp; N33) - COUNTIF(Vertices[Eigenvector Centrality], "&gt;=" &amp; N38)</f>
        <v>0</v>
      </c>
      <c r="P33" s="66"/>
      <c r="Q33" s="67">
        <f>COUNTIF(Vertices[Eigenvector Centrality], "&gt;= " &amp; P33) - COUNTIF(Vertices[Eigenvector Centrality], "&gt;=" &amp; P38)</f>
        <v>0</v>
      </c>
      <c r="R33" s="66"/>
      <c r="S33" s="68">
        <f>COUNTIF(Vertices[Clustering Coefficient], "&gt;= " &amp; R33) - COUNTIF(Vertices[Clustering Coefficient], "&gt;=" &amp; R38)</f>
        <v>0</v>
      </c>
      <c r="T33" s="66"/>
      <c r="U33" s="67">
        <f>COUNTIF(Vertices[Clustering Coefficient], "&gt;= " &amp; T33) - COUNTIF(Vertices[Clustering Coefficient], "&gt;=" &amp; T38)</f>
        <v>0</v>
      </c>
    </row>
    <row r="34" spans="4:21" x14ac:dyDescent="0.2">
      <c r="D34" s="34"/>
      <c r="E34" s="3">
        <f>COUNTIF(Vertices[Degree], "&gt;= " &amp; D34) - COUNTIF(Vertices[Degree], "&gt;=" &amp; D35)</f>
        <v>0</v>
      </c>
      <c r="F34" s="66"/>
      <c r="G34" s="67">
        <f>COUNTIF(Vertices[In-Degree], "&gt;= " &amp; F34) - COUNTIF(Vertices[In-Degree], "&gt;=" &amp; F35)</f>
        <v>0</v>
      </c>
      <c r="H34" s="66"/>
      <c r="I34" s="67">
        <f>COUNTIF(Vertices[Out-Degree], "&gt;= " &amp; H34) - COUNTIF(Vertices[Out-Degree], "&gt;=" &amp; H35)</f>
        <v>0</v>
      </c>
      <c r="J34" s="66"/>
      <c r="K34" s="67">
        <f>COUNTIF(Vertices[Betweenness Centrality], "&gt;= " &amp; J34) - COUNTIF(Vertices[Betweenness Centrality], "&gt;=" &amp; J35)</f>
        <v>0</v>
      </c>
      <c r="L34" s="66"/>
      <c r="M34" s="67">
        <f>COUNTIF(Vertices[Closeness Centrality], "&gt;= " &amp; L34) - COUNTIF(Vertices[Closeness Centrality], "&gt;=" &amp; L35)</f>
        <v>0</v>
      </c>
      <c r="N34" s="66"/>
      <c r="O34" s="67">
        <f>COUNTIF(Vertices[Eigenvector Centrality], "&gt;= " &amp; N34) - COUNTIF(Vertices[Eigenvector Centrality], "&gt;=" &amp; N35)</f>
        <v>0</v>
      </c>
      <c r="P34" s="66"/>
      <c r="Q34" s="67">
        <f>COUNTIF(Vertices[Eigenvector Centrality], "&gt;= " &amp; P34) - COUNTIF(Vertices[Eigenvector Centrality], "&gt;=" &amp; P35)</f>
        <v>0</v>
      </c>
      <c r="R34" s="66"/>
      <c r="S34" s="68">
        <f>COUNTIF(Vertices[Clustering Coefficient], "&gt;= " &amp; R34) - COUNTIF(Vertices[Clustering Coefficient], "&gt;=" &amp; R35)</f>
        <v>0</v>
      </c>
      <c r="T34" s="66"/>
      <c r="U34" s="67">
        <f>COUNTIF(Vertices[Clustering Coefficient], "&gt;= " &amp; T34) - COUNTIF(Vertices[Clustering Coefficient], "&gt;=" &amp; T35)</f>
        <v>0</v>
      </c>
    </row>
    <row r="35" spans="4:21" x14ac:dyDescent="0.2">
      <c r="D35" s="34"/>
      <c r="E35" s="3">
        <f>COUNTIF(Vertices[Degree], "&gt;= " &amp; D35) - COUNTIF(Vertices[Degree], "&gt;=" &amp; D36)</f>
        <v>0</v>
      </c>
      <c r="F35" s="66"/>
      <c r="G35" s="67">
        <f>COUNTIF(Vertices[In-Degree], "&gt;= " &amp; F35) - COUNTIF(Vertices[In-Degree], "&gt;=" &amp; F36)</f>
        <v>0</v>
      </c>
      <c r="H35" s="66"/>
      <c r="I35" s="67">
        <f>COUNTIF(Vertices[Out-Degree], "&gt;= " &amp; H35) - COUNTIF(Vertices[Out-Degree], "&gt;=" &amp; H36)</f>
        <v>0</v>
      </c>
      <c r="J35" s="66"/>
      <c r="K35" s="67">
        <f>COUNTIF(Vertices[Betweenness Centrality], "&gt;= " &amp; J35) - COUNTIF(Vertices[Betweenness Centrality], "&gt;=" &amp; J36)</f>
        <v>0</v>
      </c>
      <c r="L35" s="66"/>
      <c r="M35" s="67">
        <f>COUNTIF(Vertices[Closeness Centrality], "&gt;= " &amp; L35) - COUNTIF(Vertices[Closeness Centrality], "&gt;=" &amp; L36)</f>
        <v>0</v>
      </c>
      <c r="N35" s="66"/>
      <c r="O35" s="67">
        <f>COUNTIF(Vertices[Eigenvector Centrality], "&gt;= " &amp; N35) - COUNTIF(Vertices[Eigenvector Centrality], "&gt;=" &amp; N36)</f>
        <v>0</v>
      </c>
      <c r="P35" s="66"/>
      <c r="Q35" s="67">
        <f>COUNTIF(Vertices[Eigenvector Centrality], "&gt;= " &amp; P35) - COUNTIF(Vertices[Eigenvector Centrality], "&gt;=" &amp; P36)</f>
        <v>0</v>
      </c>
      <c r="R35" s="66"/>
      <c r="S35" s="68">
        <f>COUNTIF(Vertices[Clustering Coefficient], "&gt;= " &amp; R35) - COUNTIF(Vertices[Clustering Coefficient], "&gt;=" &amp; R36)</f>
        <v>0</v>
      </c>
      <c r="T35" s="66"/>
      <c r="U35" s="67">
        <f>COUNTIF(Vertices[Clustering Coefficient], "&gt;= " &amp; T35) - COUNTIF(Vertices[Clustering Coefficient], "&gt;=" &amp; T36)</f>
        <v>0</v>
      </c>
    </row>
    <row r="36" spans="4:21" x14ac:dyDescent="0.2">
      <c r="D36" s="34"/>
      <c r="E36" s="3">
        <f>COUNTIF(Vertices[Degree], "&gt;= " &amp; D36) - COUNTIF(Vertices[Degree], "&gt;=" &amp; D37)</f>
        <v>0</v>
      </c>
      <c r="F36" s="66"/>
      <c r="G36" s="67">
        <f>COUNTIF(Vertices[In-Degree], "&gt;= " &amp; F36) - COUNTIF(Vertices[In-Degree], "&gt;=" &amp; F37)</f>
        <v>0</v>
      </c>
      <c r="H36" s="66"/>
      <c r="I36" s="67">
        <f>COUNTIF(Vertices[Out-Degree], "&gt;= " &amp; H36) - COUNTIF(Vertices[Out-Degree], "&gt;=" &amp; H37)</f>
        <v>0</v>
      </c>
      <c r="J36" s="66"/>
      <c r="K36" s="67">
        <f>COUNTIF(Vertices[Betweenness Centrality], "&gt;= " &amp; J36) - COUNTIF(Vertices[Betweenness Centrality], "&gt;=" &amp; J37)</f>
        <v>0</v>
      </c>
      <c r="L36" s="66"/>
      <c r="M36" s="67">
        <f>COUNTIF(Vertices[Closeness Centrality], "&gt;= " &amp; L36) - COUNTIF(Vertices[Closeness Centrality], "&gt;=" &amp; L37)</f>
        <v>0</v>
      </c>
      <c r="N36" s="66"/>
      <c r="O36" s="67">
        <f>COUNTIF(Vertices[Eigenvector Centrality], "&gt;= " &amp; N36) - COUNTIF(Vertices[Eigenvector Centrality], "&gt;=" &amp; N37)</f>
        <v>0</v>
      </c>
      <c r="P36" s="66"/>
      <c r="Q36" s="67">
        <f>COUNTIF(Vertices[Eigenvector Centrality], "&gt;= " &amp; P36) - COUNTIF(Vertices[Eigenvector Centrality], "&gt;=" &amp; P37)</f>
        <v>0</v>
      </c>
      <c r="R36" s="66"/>
      <c r="S36" s="68">
        <f>COUNTIF(Vertices[Clustering Coefficient], "&gt;= " &amp; R36) - COUNTIF(Vertices[Clustering Coefficient], "&gt;=" &amp; R37)</f>
        <v>0</v>
      </c>
      <c r="T36" s="66"/>
      <c r="U36" s="67">
        <f>COUNTIF(Vertices[Clustering Coefficient], "&gt;= " &amp; T36) - COUNTIF(Vertices[Clustering Coefficient], "&gt;=" &amp; T37)</f>
        <v>0</v>
      </c>
    </row>
    <row r="37" spans="4:21" x14ac:dyDescent="0.2">
      <c r="D37" s="34"/>
      <c r="E37" s="3">
        <f>COUNTIF(Vertices[Degree], "&gt;= " &amp; D37) - COUNTIF(Vertices[Degree], "&gt;=" &amp; D38)</f>
        <v>0</v>
      </c>
      <c r="F37" s="66"/>
      <c r="G37" s="67">
        <f>COUNTIF(Vertices[In-Degree], "&gt;= " &amp; F37) - COUNTIF(Vertices[In-Degree], "&gt;=" &amp; F38)</f>
        <v>0</v>
      </c>
      <c r="H37" s="66"/>
      <c r="I37" s="67">
        <f>COUNTIF(Vertices[Out-Degree], "&gt;= " &amp; H37) - COUNTIF(Vertices[Out-Degree], "&gt;=" &amp; H38)</f>
        <v>0</v>
      </c>
      <c r="J37" s="66"/>
      <c r="K37" s="67">
        <f>COUNTIF(Vertices[Betweenness Centrality], "&gt;= " &amp; J37) - COUNTIF(Vertices[Betweenness Centrality], "&gt;=" &amp; J38)</f>
        <v>0</v>
      </c>
      <c r="L37" s="66"/>
      <c r="M37" s="67">
        <f>COUNTIF(Vertices[Closeness Centrality], "&gt;= " &amp; L37) - COUNTIF(Vertices[Closeness Centrality], "&gt;=" &amp; L38)</f>
        <v>0</v>
      </c>
      <c r="N37" s="66"/>
      <c r="O37" s="67">
        <f>COUNTIF(Vertices[Eigenvector Centrality], "&gt;= " &amp; N37) - COUNTIF(Vertices[Eigenvector Centrality], "&gt;=" &amp; N38)</f>
        <v>0</v>
      </c>
      <c r="P37" s="66"/>
      <c r="Q37" s="67">
        <f>COUNTIF(Vertices[Eigenvector Centrality], "&gt;= " &amp; P37) - COUNTIF(Vertices[Eigenvector Centrality], "&gt;=" &amp; P38)</f>
        <v>0</v>
      </c>
      <c r="R37" s="66"/>
      <c r="S37" s="68">
        <f>COUNTIF(Vertices[Clustering Coefficient], "&gt;= " &amp; R37) - COUNTIF(Vertices[Clustering Coefficient], "&gt;=" &amp; R38)</f>
        <v>0</v>
      </c>
      <c r="T37" s="66"/>
      <c r="U37" s="67">
        <f>COUNTIF(Vertices[Clustering Coefficient], "&gt;= " &amp; T37) - COUNTIF(Vertices[Clustering Coefficient], "&gt;=" &amp; T38)</f>
        <v>0</v>
      </c>
    </row>
    <row r="38" spans="4:21" x14ac:dyDescent="0.2">
      <c r="D38" s="34"/>
      <c r="E38" s="3">
        <f>COUNTIF(Vertices[Degree], "&gt;= " &amp; D38) - COUNTIF(Vertices[Degree], "&gt;=" &amp; D42)</f>
        <v>0</v>
      </c>
      <c r="F38" s="66"/>
      <c r="G38" s="67">
        <f>COUNTIF(Vertices[In-Degree], "&gt;= " &amp; F38) - COUNTIF(Vertices[In-Degree], "&gt;=" &amp; F42)</f>
        <v>0</v>
      </c>
      <c r="H38" s="66"/>
      <c r="I38" s="67">
        <f>COUNTIF(Vertices[Out-Degree], "&gt;= " &amp; H38) - COUNTIF(Vertices[Out-Degree], "&gt;=" &amp; H42)</f>
        <v>0</v>
      </c>
      <c r="J38" s="66"/>
      <c r="K38" s="67">
        <f>COUNTIF(Vertices[Betweenness Centrality], "&gt;= " &amp; J38) - COUNTIF(Vertices[Betweenness Centrality], "&gt;=" &amp; J42)</f>
        <v>0</v>
      </c>
      <c r="L38" s="66"/>
      <c r="M38" s="67">
        <f>COUNTIF(Vertices[Closeness Centrality], "&gt;= " &amp; L38) - COUNTIF(Vertices[Closeness Centrality], "&gt;=" &amp; L42)</f>
        <v>0</v>
      </c>
      <c r="N38" s="66"/>
      <c r="O38" s="67">
        <f>COUNTIF(Vertices[Eigenvector Centrality], "&gt;= " &amp; N38) - COUNTIF(Vertices[Eigenvector Centrality], "&gt;=" &amp; N42)</f>
        <v>0</v>
      </c>
      <c r="P38" s="66"/>
      <c r="Q38" s="67">
        <f>COUNTIF(Vertices[Eigenvector Centrality], "&gt;= " &amp; P38) - COUNTIF(Vertices[Eigenvector Centrality], "&gt;=" &amp; P42)</f>
        <v>0</v>
      </c>
      <c r="R38" s="66"/>
      <c r="S38" s="68">
        <f>COUNTIF(Vertices[Clustering Coefficient], "&gt;= " &amp; R38) - COUNTIF(Vertices[Clustering Coefficient], "&gt;=" &amp; R42)</f>
        <v>0</v>
      </c>
      <c r="T38" s="66"/>
      <c r="U38" s="67">
        <f ca="1">COUNTIF(Vertices[Clustering Coefficient], "&gt;= " &amp; T38) - COUNTIF(Vertices[Clustering Coefficient], "&gt;=" &amp; T42)</f>
        <v>0</v>
      </c>
    </row>
    <row r="39" spans="4:21" x14ac:dyDescent="0.2">
      <c r="D39" s="34"/>
      <c r="E39" s="3">
        <f>COUNTIF(Vertices[Degree], "&gt;= " &amp; D39) - COUNTIF(Vertices[Degree], "&gt;=" &amp; D42)</f>
        <v>0</v>
      </c>
      <c r="F39" s="66"/>
      <c r="G39" s="67">
        <f>COUNTIF(Vertices[In-Degree], "&gt;= " &amp; F39) - COUNTIF(Vertices[In-Degree], "&gt;=" &amp; F42)</f>
        <v>0</v>
      </c>
      <c r="H39" s="66"/>
      <c r="I39" s="67">
        <f>COUNTIF(Vertices[Out-Degree], "&gt;= " &amp; H39) - COUNTIF(Vertices[Out-Degree], "&gt;=" &amp; H42)</f>
        <v>0</v>
      </c>
      <c r="J39" s="66"/>
      <c r="K39" s="67">
        <f>COUNTIF(Vertices[Betweenness Centrality], "&gt;= " &amp; J39) - COUNTIF(Vertices[Betweenness Centrality], "&gt;=" &amp; J42)</f>
        <v>0</v>
      </c>
      <c r="L39" s="66"/>
      <c r="M39" s="67">
        <f>COUNTIF(Vertices[Closeness Centrality], "&gt;= " &amp; L39) - COUNTIF(Vertices[Closeness Centrality], "&gt;=" &amp; L42)</f>
        <v>0</v>
      </c>
      <c r="N39" s="66"/>
      <c r="O39" s="67">
        <f>COUNTIF(Vertices[Eigenvector Centrality], "&gt;= " &amp; N39) - COUNTIF(Vertices[Eigenvector Centrality], "&gt;=" &amp; N42)</f>
        <v>0</v>
      </c>
      <c r="P39" s="66"/>
      <c r="Q39" s="67">
        <f>COUNTIF(Vertices[Eigenvector Centrality], "&gt;= " &amp; P39) - COUNTIF(Vertices[Eigenvector Centrality], "&gt;=" &amp; P42)</f>
        <v>0</v>
      </c>
      <c r="R39" s="66"/>
      <c r="S39" s="68">
        <f>COUNTIF(Vertices[Clustering Coefficient], "&gt;= " &amp; R39) - COUNTIF(Vertices[Clustering Coefficient], "&gt;=" &amp; R42)</f>
        <v>0</v>
      </c>
      <c r="T39" s="66"/>
      <c r="U39" s="67">
        <f ca="1">COUNTIF(Vertices[Clustering Coefficient], "&gt;= " &amp; T39) - COUNTIF(Vertices[Clustering Coefficient], "&gt;=" &amp; T42)</f>
        <v>0</v>
      </c>
    </row>
    <row r="40" spans="4:21" x14ac:dyDescent="0.2">
      <c r="D40" s="34"/>
      <c r="E40" s="3">
        <f>COUNTIF(Vertices[Degree], "&gt;= " &amp; D40) - COUNTIF(Vertices[Degree], "&gt;=" &amp; D42)</f>
        <v>0</v>
      </c>
      <c r="F40" s="66"/>
      <c r="G40" s="67">
        <f>COUNTIF(Vertices[In-Degree], "&gt;= " &amp; F40) - COUNTIF(Vertices[In-Degree], "&gt;=" &amp; F42)</f>
        <v>0</v>
      </c>
      <c r="H40" s="66"/>
      <c r="I40" s="67">
        <f>COUNTIF(Vertices[Out-Degree], "&gt;= " &amp; H40) - COUNTIF(Vertices[Out-Degree], "&gt;=" &amp; H42)</f>
        <v>0</v>
      </c>
      <c r="J40" s="66"/>
      <c r="K40" s="67">
        <f>COUNTIF(Vertices[Betweenness Centrality], "&gt;= " &amp; J40) - COUNTIF(Vertices[Betweenness Centrality], "&gt;=" &amp; J42)</f>
        <v>0</v>
      </c>
      <c r="L40" s="66"/>
      <c r="M40" s="67">
        <f>COUNTIF(Vertices[Closeness Centrality], "&gt;= " &amp; L40) - COUNTIF(Vertices[Closeness Centrality], "&gt;=" &amp; L42)</f>
        <v>0</v>
      </c>
      <c r="N40" s="66"/>
      <c r="O40" s="67">
        <f>COUNTIF(Vertices[Eigenvector Centrality], "&gt;= " &amp; N40) - COUNTIF(Vertices[Eigenvector Centrality], "&gt;=" &amp; N42)</f>
        <v>0</v>
      </c>
      <c r="P40" s="66"/>
      <c r="Q40" s="67">
        <f>COUNTIF(Vertices[Eigenvector Centrality], "&gt;= " &amp; P40) - COUNTIF(Vertices[Eigenvector Centrality], "&gt;=" &amp; P42)</f>
        <v>0</v>
      </c>
      <c r="R40" s="66"/>
      <c r="S40" s="68">
        <f>COUNTIF(Vertices[Clustering Coefficient], "&gt;= " &amp; R40) - COUNTIF(Vertices[Clustering Coefficient], "&gt;=" &amp; R42)</f>
        <v>0</v>
      </c>
      <c r="T40" s="66"/>
      <c r="U40" s="67">
        <f ca="1">COUNTIF(Vertices[Clustering Coefficient], "&gt;= " &amp; T40) - COUNTIF(Vertices[Clustering Coefficient], "&gt;=" &amp; T42)</f>
        <v>0</v>
      </c>
    </row>
    <row r="41" spans="4:21" x14ac:dyDescent="0.2">
      <c r="D41" s="34"/>
      <c r="E41" s="3">
        <f>COUNTIF(Vertices[Degree], "&gt;= " &amp; D41) - COUNTIF(Vertices[Degree], "&gt;=" &amp; D42)</f>
        <v>0</v>
      </c>
      <c r="F41" s="66"/>
      <c r="G41" s="67">
        <f>COUNTIF(Vertices[In-Degree], "&gt;= " &amp; F41) - COUNTIF(Vertices[In-Degree], "&gt;=" &amp; F42)</f>
        <v>0</v>
      </c>
      <c r="H41" s="66"/>
      <c r="I41" s="67">
        <f>COUNTIF(Vertices[Out-Degree], "&gt;= " &amp; H41) - COUNTIF(Vertices[Out-Degree], "&gt;=" &amp; H42)</f>
        <v>0</v>
      </c>
      <c r="J41" s="66"/>
      <c r="K41" s="67">
        <f>COUNTIF(Vertices[Betweenness Centrality], "&gt;= " &amp; J41) - COUNTIF(Vertices[Betweenness Centrality], "&gt;=" &amp; J42)</f>
        <v>0</v>
      </c>
      <c r="L41" s="66"/>
      <c r="M41" s="67">
        <f>COUNTIF(Vertices[Closeness Centrality], "&gt;= " &amp; L41) - COUNTIF(Vertices[Closeness Centrality], "&gt;=" &amp; L42)</f>
        <v>0</v>
      </c>
      <c r="N41" s="66"/>
      <c r="O41" s="67">
        <f>COUNTIF(Vertices[Eigenvector Centrality], "&gt;= " &amp; N41) - COUNTIF(Vertices[Eigenvector Centrality], "&gt;=" &amp; N42)</f>
        <v>0</v>
      </c>
      <c r="P41" s="66"/>
      <c r="Q41" s="67">
        <f>COUNTIF(Vertices[Eigenvector Centrality], "&gt;= " &amp; P41) - COUNTIF(Vertices[Eigenvector Centrality], "&gt;=" &amp; P42)</f>
        <v>0</v>
      </c>
      <c r="R41" s="66"/>
      <c r="S41" s="68">
        <f>COUNTIF(Vertices[Clustering Coefficient], "&gt;= " &amp; R41) - COUNTIF(Vertices[Clustering Coefficient], "&gt;=" &amp; R42)</f>
        <v>0</v>
      </c>
      <c r="T41" s="66"/>
      <c r="U41" s="67">
        <f ca="1">COUNTIF(Vertices[Clustering Coefficient], "&gt;= " &amp; T41) - COUNTIF(Vertices[Clustering Coefficient], "&gt;=" &amp; T42)</f>
        <v>0</v>
      </c>
    </row>
    <row r="42" spans="4:21" x14ac:dyDescent="0.2">
      <c r="D42" s="34">
        <f>D28+($D$50-$D$2)/BinDivisor</f>
        <v>0</v>
      </c>
      <c r="E42" s="3">
        <f>COUNTIF(Vertices[Degree], "&gt;= " &amp; D42) - COUNTIF(Vertices[Degree], "&gt;=" &amp; D43)</f>
        <v>0</v>
      </c>
      <c r="F42" s="39">
        <f>F28+($F$50-$F$2)/BinDivisor</f>
        <v>0</v>
      </c>
      <c r="G42" s="40">
        <f>COUNTIF(Vertices[In-Degree], "&gt;= " &amp; F42) - COUNTIF(Vertices[In-Degree], "&gt;=" &amp; F43)</f>
        <v>0</v>
      </c>
      <c r="H42" s="39">
        <f>H28+($H$50-$H$2)/BinDivisor</f>
        <v>0</v>
      </c>
      <c r="I42" s="40">
        <f>COUNTIF(Vertices[Out-Degree], "&gt;= " &amp; H42) - COUNTIF(Vertices[Out-Degree], "&gt;=" &amp; H43)</f>
        <v>0</v>
      </c>
      <c r="J42" s="39">
        <f>J28+($J$50-$J$2)/BinDivisor</f>
        <v>0</v>
      </c>
      <c r="K42" s="40">
        <f>COUNTIF(Vertices[Betweenness Centrality], "&gt;= " &amp; J42) - COUNTIF(Vertices[Betweenness Centrality], "&gt;=" &amp; J43)</f>
        <v>0</v>
      </c>
      <c r="L42" s="39">
        <f>L28+($L$50-$L$2)/BinDivisor</f>
        <v>0</v>
      </c>
      <c r="M42" s="40">
        <f>COUNTIF(Vertices[Closeness Centrality], "&gt;= " &amp; L42) - COUNTIF(Vertices[Closeness Centrality], "&gt;=" &amp; L43)</f>
        <v>0</v>
      </c>
      <c r="N42" s="39">
        <f>N28+($N$50-$N$2)/BinDivisor</f>
        <v>0</v>
      </c>
      <c r="O42" s="40">
        <f>COUNTIF(Vertices[Eigenvector Centrality], "&gt;= " &amp; N42) - COUNTIF(Vertices[Eigenvector Centrality], "&gt;=" &amp; N43)</f>
        <v>0</v>
      </c>
      <c r="P42" s="39">
        <f>P28+($P$50-$P$2)/BinDivisor</f>
        <v>0</v>
      </c>
      <c r="Q42" s="40">
        <f>COUNTIF(Vertices[PageRank], "&gt;= " &amp; P42) - COUNTIF(Vertices[PageRank], "&gt;=" &amp; P43)</f>
        <v>0</v>
      </c>
      <c r="R42" s="39">
        <f>R28+($R$50-$R$2)/BinDivisor</f>
        <v>0</v>
      </c>
      <c r="S42" s="45">
        <f>COUNTIF(Vertices[Clustering Coefficient], "&gt;= " &amp; R42) - COUNTIF(Vertices[Clustering Coefficient], "&gt;=" &amp; R43)</f>
        <v>0</v>
      </c>
      <c r="T42" s="39" t="e">
        <f ca="1">T28+($T$50-$T$2)/BinDivisor</f>
        <v>#REF!</v>
      </c>
      <c r="U42" s="40" t="e">
        <f t="shared" ca="1" si="0"/>
        <v>#REF!</v>
      </c>
    </row>
    <row r="43" spans="4:21" x14ac:dyDescent="0.2">
      <c r="D43" s="34">
        <f t="shared" ref="D43:D49" si="10">D42+($D$50-$D$2)/BinDivisor</f>
        <v>0</v>
      </c>
      <c r="E43" s="3">
        <f>COUNTIF(Vertices[Degree], "&gt;= " &amp; D43) - COUNTIF(Vertices[Degree], "&gt;=" &amp; D44)</f>
        <v>0</v>
      </c>
      <c r="F43" s="41">
        <f t="shared" ref="F43:F49" si="11">F42+($F$50-$F$2)/BinDivisor</f>
        <v>0</v>
      </c>
      <c r="G43" s="42">
        <f>COUNTIF(Vertices[In-Degree], "&gt;= " &amp; F43) - COUNTIF(Vertices[In-Degree], "&gt;=" &amp; F44)</f>
        <v>0</v>
      </c>
      <c r="H43" s="41">
        <f t="shared" ref="H43:H49" si="12">H42+($H$50-$H$2)/BinDivisor</f>
        <v>0</v>
      </c>
      <c r="I43" s="42">
        <f>COUNTIF(Vertices[Out-Degree], "&gt;= " &amp; H43) - COUNTIF(Vertices[Out-Degree], "&gt;=" &amp; H44)</f>
        <v>0</v>
      </c>
      <c r="J43" s="41">
        <f t="shared" ref="J43:J49" si="13">J42+($J$50-$J$2)/BinDivisor</f>
        <v>0</v>
      </c>
      <c r="K43" s="42">
        <f>COUNTIF(Vertices[Betweenness Centrality], "&gt;= " &amp; J43) - COUNTIF(Vertices[Betweenness Centrality], "&gt;=" &amp; J44)</f>
        <v>0</v>
      </c>
      <c r="L43" s="41">
        <f t="shared" ref="L43:L49" si="14">L42+($L$50-$L$2)/BinDivisor</f>
        <v>0</v>
      </c>
      <c r="M43" s="42">
        <f>COUNTIF(Vertices[Closeness Centrality], "&gt;= " &amp; L43) - COUNTIF(Vertices[Closeness Centrality], "&gt;=" &amp; L44)</f>
        <v>0</v>
      </c>
      <c r="N43" s="41">
        <f t="shared" ref="N43:N49" si="15">N42+($N$50-$N$2)/BinDivisor</f>
        <v>0</v>
      </c>
      <c r="O43" s="42">
        <f>COUNTIF(Vertices[Eigenvector Centrality], "&gt;= " &amp; N43) - COUNTIF(Vertices[Eigenvector Centrality], "&gt;=" &amp; N44)</f>
        <v>0</v>
      </c>
      <c r="P43" s="41">
        <f t="shared" ref="P43:P49" si="16">P42+($P$50-$P$2)/BinDivisor</f>
        <v>0</v>
      </c>
      <c r="Q43" s="42">
        <f>COUNTIF(Vertices[PageRank], "&gt;= " &amp; P43) - COUNTIF(Vertices[PageRank], "&gt;=" &amp; P44)</f>
        <v>0</v>
      </c>
      <c r="R43" s="41">
        <f t="shared" ref="R43:R49" si="17">R42+($R$50-$R$2)/BinDivisor</f>
        <v>0</v>
      </c>
      <c r="S43" s="46">
        <f>COUNTIF(Vertices[Clustering Coefficient], "&gt;= " &amp; R43) - COUNTIF(Vertices[Clustering Coefficient], "&gt;=" &amp; R44)</f>
        <v>0</v>
      </c>
      <c r="T43" s="41" t="e">
        <f t="shared" ref="T43:T49" ca="1" si="18">T42+($T$50-$T$2)/BinDivisor</f>
        <v>#REF!</v>
      </c>
      <c r="U43" s="42" t="e">
        <f t="shared" ca="1" si="0"/>
        <v>#REF!</v>
      </c>
    </row>
    <row r="44" spans="4:21" x14ac:dyDescent="0.2">
      <c r="D44" s="34">
        <f t="shared" si="10"/>
        <v>0</v>
      </c>
      <c r="E44" s="3">
        <f>COUNTIF(Vertices[Degree], "&gt;= " &amp; D44) - COUNTIF(Vertices[Degree], "&gt;=" &amp; D45)</f>
        <v>0</v>
      </c>
      <c r="F44" s="39">
        <f t="shared" si="11"/>
        <v>0</v>
      </c>
      <c r="G44" s="40">
        <f>COUNTIF(Vertices[In-Degree], "&gt;= " &amp; F44) - COUNTIF(Vertices[In-Degree], "&gt;=" &amp; F45)</f>
        <v>0</v>
      </c>
      <c r="H44" s="39">
        <f t="shared" si="12"/>
        <v>0</v>
      </c>
      <c r="I44" s="40">
        <f>COUNTIF(Vertices[Out-Degree], "&gt;= " &amp; H44) - COUNTIF(Vertices[Out-Degree], "&gt;=" &amp; H45)</f>
        <v>0</v>
      </c>
      <c r="J44" s="39">
        <f t="shared" si="13"/>
        <v>0</v>
      </c>
      <c r="K44" s="40">
        <f>COUNTIF(Vertices[Betweenness Centrality], "&gt;= " &amp; J44) - COUNTIF(Vertices[Betweenness Centrality], "&gt;=" &amp; J45)</f>
        <v>0</v>
      </c>
      <c r="L44" s="39">
        <f t="shared" si="14"/>
        <v>0</v>
      </c>
      <c r="M44" s="40">
        <f>COUNTIF(Vertices[Closeness Centrality], "&gt;= " &amp; L44) - COUNTIF(Vertices[Closeness Centrality], "&gt;=" &amp; L45)</f>
        <v>0</v>
      </c>
      <c r="N44" s="39">
        <f t="shared" si="15"/>
        <v>0</v>
      </c>
      <c r="O44" s="40">
        <f>COUNTIF(Vertices[Eigenvector Centrality], "&gt;= " &amp; N44) - COUNTIF(Vertices[Eigenvector Centrality], "&gt;=" &amp; N45)</f>
        <v>0</v>
      </c>
      <c r="P44" s="39">
        <f t="shared" si="16"/>
        <v>0</v>
      </c>
      <c r="Q44" s="40">
        <f>COUNTIF(Vertices[PageRank], "&gt;= " &amp; P44) - COUNTIF(Vertices[PageRank], "&gt;=" &amp; P45)</f>
        <v>0</v>
      </c>
      <c r="R44" s="39">
        <f t="shared" si="17"/>
        <v>0</v>
      </c>
      <c r="S44" s="45">
        <f>COUNTIF(Vertices[Clustering Coefficient], "&gt;= " &amp; R44) - COUNTIF(Vertices[Clustering Coefficient], "&gt;=" &amp; R45)</f>
        <v>0</v>
      </c>
      <c r="T44" s="39" t="e">
        <f t="shared" ca="1" si="18"/>
        <v>#REF!</v>
      </c>
      <c r="U44" s="40" t="e">
        <f t="shared" ca="1" si="0"/>
        <v>#REF!</v>
      </c>
    </row>
    <row r="45" spans="4:21" x14ac:dyDescent="0.2">
      <c r="D45" s="34">
        <f t="shared" si="10"/>
        <v>0</v>
      </c>
      <c r="E45" s="3">
        <f>COUNTIF(Vertices[Degree], "&gt;= " &amp; D45) - COUNTIF(Vertices[Degree], "&gt;=" &amp; D46)</f>
        <v>0</v>
      </c>
      <c r="F45" s="41">
        <f t="shared" si="11"/>
        <v>0</v>
      </c>
      <c r="G45" s="42">
        <f>COUNTIF(Vertices[In-Degree], "&gt;= " &amp; F45) - COUNTIF(Vertices[In-Degree], "&gt;=" &amp; F46)</f>
        <v>0</v>
      </c>
      <c r="H45" s="41">
        <f t="shared" si="12"/>
        <v>0</v>
      </c>
      <c r="I45" s="42">
        <f>COUNTIF(Vertices[Out-Degree], "&gt;= " &amp; H45) - COUNTIF(Vertices[Out-Degree], "&gt;=" &amp; H46)</f>
        <v>0</v>
      </c>
      <c r="J45" s="41">
        <f t="shared" si="13"/>
        <v>0</v>
      </c>
      <c r="K45" s="42">
        <f>COUNTIF(Vertices[Betweenness Centrality], "&gt;= " &amp; J45) - COUNTIF(Vertices[Betweenness Centrality], "&gt;=" &amp; J46)</f>
        <v>0</v>
      </c>
      <c r="L45" s="41">
        <f t="shared" si="14"/>
        <v>0</v>
      </c>
      <c r="M45" s="42">
        <f>COUNTIF(Vertices[Closeness Centrality], "&gt;= " &amp; L45) - COUNTIF(Vertices[Closeness Centrality], "&gt;=" &amp; L46)</f>
        <v>0</v>
      </c>
      <c r="N45" s="41">
        <f t="shared" si="15"/>
        <v>0</v>
      </c>
      <c r="O45" s="42">
        <f>COUNTIF(Vertices[Eigenvector Centrality], "&gt;= " &amp; N45) - COUNTIF(Vertices[Eigenvector Centrality], "&gt;=" &amp; N46)</f>
        <v>0</v>
      </c>
      <c r="P45" s="41">
        <f t="shared" si="16"/>
        <v>0</v>
      </c>
      <c r="Q45" s="42">
        <f>COUNTIF(Vertices[PageRank], "&gt;= " &amp; P45) - COUNTIF(Vertices[PageRank], "&gt;=" &amp; P46)</f>
        <v>0</v>
      </c>
      <c r="R45" s="41">
        <f t="shared" si="17"/>
        <v>0</v>
      </c>
      <c r="S45" s="46">
        <f>COUNTIF(Vertices[Clustering Coefficient], "&gt;= " &amp; R45) - COUNTIF(Vertices[Clustering Coefficient], "&gt;=" &amp; R46)</f>
        <v>0</v>
      </c>
      <c r="T45" s="41" t="e">
        <f t="shared" ca="1" si="18"/>
        <v>#REF!</v>
      </c>
      <c r="U45" s="42" t="e">
        <f t="shared" ca="1" si="0"/>
        <v>#REF!</v>
      </c>
    </row>
    <row r="46" spans="4:21" x14ac:dyDescent="0.2">
      <c r="D46" s="34">
        <f t="shared" si="10"/>
        <v>0</v>
      </c>
      <c r="E46" s="3">
        <f>COUNTIF(Vertices[Degree], "&gt;= " &amp; D46) - COUNTIF(Vertices[Degree], "&gt;=" &amp; D47)</f>
        <v>0</v>
      </c>
      <c r="F46" s="39">
        <f t="shared" si="11"/>
        <v>0</v>
      </c>
      <c r="G46" s="40">
        <f>COUNTIF(Vertices[In-Degree], "&gt;= " &amp; F46) - COUNTIF(Vertices[In-Degree], "&gt;=" &amp; F47)</f>
        <v>0</v>
      </c>
      <c r="H46" s="39">
        <f t="shared" si="12"/>
        <v>0</v>
      </c>
      <c r="I46" s="40">
        <f>COUNTIF(Vertices[Out-Degree], "&gt;= " &amp; H46) - COUNTIF(Vertices[Out-Degree], "&gt;=" &amp; H47)</f>
        <v>0</v>
      </c>
      <c r="J46" s="39">
        <f t="shared" si="13"/>
        <v>0</v>
      </c>
      <c r="K46" s="40">
        <f>COUNTIF(Vertices[Betweenness Centrality], "&gt;= " &amp; J46) - COUNTIF(Vertices[Betweenness Centrality], "&gt;=" &amp; J47)</f>
        <v>0</v>
      </c>
      <c r="L46" s="39">
        <f t="shared" si="14"/>
        <v>0</v>
      </c>
      <c r="M46" s="40">
        <f>COUNTIF(Vertices[Closeness Centrality], "&gt;= " &amp; L46) - COUNTIF(Vertices[Closeness Centrality], "&gt;=" &amp; L47)</f>
        <v>0</v>
      </c>
      <c r="N46" s="39">
        <f t="shared" si="15"/>
        <v>0</v>
      </c>
      <c r="O46" s="40">
        <f>COUNTIF(Vertices[Eigenvector Centrality], "&gt;= " &amp; N46) - COUNTIF(Vertices[Eigenvector Centrality], "&gt;=" &amp; N47)</f>
        <v>0</v>
      </c>
      <c r="P46" s="39">
        <f t="shared" si="16"/>
        <v>0</v>
      </c>
      <c r="Q46" s="40">
        <f>COUNTIF(Vertices[PageRank], "&gt;= " &amp; P46) - COUNTIF(Vertices[PageRank], "&gt;=" &amp; P47)</f>
        <v>0</v>
      </c>
      <c r="R46" s="39">
        <f t="shared" si="17"/>
        <v>0</v>
      </c>
      <c r="S46" s="45">
        <f>COUNTIF(Vertices[Clustering Coefficient], "&gt;= " &amp; R46) - COUNTIF(Vertices[Clustering Coefficient], "&gt;=" &amp; R47)</f>
        <v>0</v>
      </c>
      <c r="T46" s="39" t="e">
        <f t="shared" ca="1" si="18"/>
        <v>#REF!</v>
      </c>
      <c r="U46" s="40" t="e">
        <f t="shared" ca="1" si="0"/>
        <v>#REF!</v>
      </c>
    </row>
    <row r="47" spans="4:21" x14ac:dyDescent="0.2">
      <c r="D47" s="34">
        <f t="shared" si="10"/>
        <v>0</v>
      </c>
      <c r="E47" s="3">
        <f>COUNTIF(Vertices[Degree], "&gt;= " &amp; D47) - COUNTIF(Vertices[Degree], "&gt;=" &amp; D48)</f>
        <v>0</v>
      </c>
      <c r="F47" s="41">
        <f t="shared" si="11"/>
        <v>0</v>
      </c>
      <c r="G47" s="42">
        <f>COUNTIF(Vertices[In-Degree], "&gt;= " &amp; F47) - COUNTIF(Vertices[In-Degree], "&gt;=" &amp; F48)</f>
        <v>0</v>
      </c>
      <c r="H47" s="41">
        <f t="shared" si="12"/>
        <v>0</v>
      </c>
      <c r="I47" s="42">
        <f>COUNTIF(Vertices[Out-Degree], "&gt;= " &amp; H47) - COUNTIF(Vertices[Out-Degree], "&gt;=" &amp; H48)</f>
        <v>0</v>
      </c>
      <c r="J47" s="41">
        <f t="shared" si="13"/>
        <v>0</v>
      </c>
      <c r="K47" s="42">
        <f>COUNTIF(Vertices[Betweenness Centrality], "&gt;= " &amp; J47) - COUNTIF(Vertices[Betweenness Centrality], "&gt;=" &amp; J48)</f>
        <v>0</v>
      </c>
      <c r="L47" s="41">
        <f t="shared" si="14"/>
        <v>0</v>
      </c>
      <c r="M47" s="42">
        <f>COUNTIF(Vertices[Closeness Centrality], "&gt;= " &amp; L47) - COUNTIF(Vertices[Closeness Centrality], "&gt;=" &amp; L48)</f>
        <v>0</v>
      </c>
      <c r="N47" s="41">
        <f t="shared" si="15"/>
        <v>0</v>
      </c>
      <c r="O47" s="42">
        <f>COUNTIF(Vertices[Eigenvector Centrality], "&gt;= " &amp; N47) - COUNTIF(Vertices[Eigenvector Centrality], "&gt;=" &amp; N48)</f>
        <v>0</v>
      </c>
      <c r="P47" s="41">
        <f t="shared" si="16"/>
        <v>0</v>
      </c>
      <c r="Q47" s="42">
        <f>COUNTIF(Vertices[PageRank], "&gt;= " &amp; P47) - COUNTIF(Vertices[PageRank], "&gt;=" &amp; P48)</f>
        <v>0</v>
      </c>
      <c r="R47" s="41">
        <f t="shared" si="17"/>
        <v>0</v>
      </c>
      <c r="S47" s="46">
        <f>COUNTIF(Vertices[Clustering Coefficient], "&gt;= " &amp; R47) - COUNTIF(Vertices[Clustering Coefficient], "&gt;=" &amp; R48)</f>
        <v>0</v>
      </c>
      <c r="T47" s="41" t="e">
        <f t="shared" ca="1" si="18"/>
        <v>#REF!</v>
      </c>
      <c r="U47" s="42" t="e">
        <f t="shared" ca="1" si="0"/>
        <v>#REF!</v>
      </c>
    </row>
    <row r="48" spans="4:21" x14ac:dyDescent="0.2">
      <c r="D48" s="34">
        <f t="shared" si="10"/>
        <v>0</v>
      </c>
      <c r="E48" s="3">
        <f>COUNTIF(Vertices[Degree], "&gt;= " &amp; D48) - COUNTIF(Vertices[Degree], "&gt;=" &amp; D49)</f>
        <v>0</v>
      </c>
      <c r="F48" s="39">
        <f t="shared" si="11"/>
        <v>0</v>
      </c>
      <c r="G48" s="40">
        <f>COUNTIF(Vertices[In-Degree], "&gt;= " &amp; F48) - COUNTIF(Vertices[In-Degree], "&gt;=" &amp; F49)</f>
        <v>0</v>
      </c>
      <c r="H48" s="39">
        <f t="shared" si="12"/>
        <v>0</v>
      </c>
      <c r="I48" s="40">
        <f>COUNTIF(Vertices[Out-Degree], "&gt;= " &amp; H48) - COUNTIF(Vertices[Out-Degree], "&gt;=" &amp; H49)</f>
        <v>0</v>
      </c>
      <c r="J48" s="39">
        <f t="shared" si="13"/>
        <v>0</v>
      </c>
      <c r="K48" s="40">
        <f>COUNTIF(Vertices[Betweenness Centrality], "&gt;= " &amp; J48) - COUNTIF(Vertices[Betweenness Centrality], "&gt;=" &amp; J49)</f>
        <v>0</v>
      </c>
      <c r="L48" s="39">
        <f t="shared" si="14"/>
        <v>0</v>
      </c>
      <c r="M48" s="40">
        <f>COUNTIF(Vertices[Closeness Centrality], "&gt;= " &amp; L48) - COUNTIF(Vertices[Closeness Centrality], "&gt;=" &amp; L49)</f>
        <v>0</v>
      </c>
      <c r="N48" s="39">
        <f t="shared" si="15"/>
        <v>0</v>
      </c>
      <c r="O48" s="40">
        <f>COUNTIF(Vertices[Eigenvector Centrality], "&gt;= " &amp; N48) - COUNTIF(Vertices[Eigenvector Centrality], "&gt;=" &amp; N49)</f>
        <v>0</v>
      </c>
      <c r="P48" s="39">
        <f t="shared" si="16"/>
        <v>0</v>
      </c>
      <c r="Q48" s="40">
        <f>COUNTIF(Vertices[PageRank], "&gt;= " &amp; P48) - COUNTIF(Vertices[PageRank], "&gt;=" &amp; P49)</f>
        <v>0</v>
      </c>
      <c r="R48" s="39">
        <f t="shared" si="17"/>
        <v>0</v>
      </c>
      <c r="S48" s="45">
        <f>COUNTIF(Vertices[Clustering Coefficient], "&gt;= " &amp; R48) - COUNTIF(Vertices[Clustering Coefficient], "&gt;=" &amp; R49)</f>
        <v>0</v>
      </c>
      <c r="T48" s="39" t="e">
        <f t="shared" ca="1" si="18"/>
        <v>#REF!</v>
      </c>
      <c r="U48" s="40" t="e">
        <f t="shared" ca="1" si="0"/>
        <v>#REF!</v>
      </c>
    </row>
    <row r="49" spans="1:21" x14ac:dyDescent="0.2">
      <c r="D49" s="34">
        <f t="shared" si="10"/>
        <v>0</v>
      </c>
      <c r="E49" s="3">
        <f>COUNTIF(Vertices[Degree], "&gt;= " &amp; D49) - COUNTIF(Vertices[Degree], "&gt;=" &amp;#REF!)</f>
        <v>0</v>
      </c>
      <c r="F49" s="41">
        <f t="shared" si="11"/>
        <v>0</v>
      </c>
      <c r="G49" s="42">
        <f>COUNTIF(Vertices[In-Degree], "&gt;= " &amp; F49) - COUNTIF(Vertices[In-Degree], "&gt;=" &amp;#REF!)</f>
        <v>0</v>
      </c>
      <c r="H49" s="41">
        <f t="shared" si="12"/>
        <v>0</v>
      </c>
      <c r="I49" s="42">
        <f>COUNTIF(Vertices[Out-Degree], "&gt;= " &amp; H49) - COUNTIF(Vertices[Out-Degree], "&gt;=" &amp;#REF!)</f>
        <v>0</v>
      </c>
      <c r="J49" s="41">
        <f t="shared" si="13"/>
        <v>0</v>
      </c>
      <c r="K49" s="42">
        <f>COUNTIF(Vertices[Betweenness Centrality], "&gt;= " &amp; J49) - COUNTIF(Vertices[Betweenness Centrality], "&gt;=" &amp;#REF!)</f>
        <v>0</v>
      </c>
      <c r="L49" s="41">
        <f t="shared" si="14"/>
        <v>0</v>
      </c>
      <c r="M49" s="42">
        <f>COUNTIF(Vertices[Closeness Centrality], "&gt;= " &amp; L49) - COUNTIF(Vertices[Closeness Centrality], "&gt;=" &amp;#REF!)</f>
        <v>0</v>
      </c>
      <c r="N49" s="41">
        <f t="shared" si="15"/>
        <v>0</v>
      </c>
      <c r="O49" s="42">
        <f>COUNTIF(Vertices[Eigenvector Centrality], "&gt;= " &amp; N49) - COUNTIF(Vertices[Eigenvector Centrality], "&gt;=" &amp;#REF!)</f>
        <v>0</v>
      </c>
      <c r="P49" s="41">
        <f t="shared" si="16"/>
        <v>0</v>
      </c>
      <c r="Q49" s="42">
        <f>COUNTIF(Vertices[PageRank], "&gt;= " &amp; P49) - COUNTIF(Vertices[PageRank], "&gt;=" &amp;#REF!)</f>
        <v>0</v>
      </c>
      <c r="R49" s="41">
        <f t="shared" si="17"/>
        <v>0</v>
      </c>
      <c r="S49" s="46">
        <f>COUNTIF(Vertices[Clustering Coefficient], "&gt;= " &amp; R49) - COUNTIF(Vertices[Clustering Coefficient], "&gt;=" &amp;#REF!)</f>
        <v>0</v>
      </c>
      <c r="T49" s="41" t="e">
        <f t="shared" ca="1" si="18"/>
        <v>#REF!</v>
      </c>
      <c r="U49" s="42" t="e">
        <f ca="1">COUNTIF(INDIRECT(DynamicFilterSourceColumnRange), "&gt;= " &amp; T49) - COUNTIF(INDIRECT(DynamicFilterSourceColumnRange), "&gt;=" &amp;#REF!)</f>
        <v>#REF!</v>
      </c>
    </row>
    <row r="50" spans="1:21" x14ac:dyDescent="0.2">
      <c r="D50" s="34">
        <f>MAX(Vertices[Degree])</f>
        <v>0</v>
      </c>
      <c r="E50" s="3">
        <f>COUNTIF(Vertices[Degree], "&gt;= " &amp; D50) - COUNTIF(Vertices[Degree], "&gt;=" &amp;#REF!)</f>
        <v>0</v>
      </c>
      <c r="F50" s="43">
        <f>MAX(Vertices[In-Degree])</f>
        <v>0</v>
      </c>
      <c r="G50" s="44">
        <f>COUNTIF(Vertices[In-Degree], "&gt;= " &amp; F50) - COUNTIF(Vertices[In-Degree], "&gt;=" &amp;#REF!)</f>
        <v>0</v>
      </c>
      <c r="H50" s="43">
        <f>MAX(Vertices[Out-Degree])</f>
        <v>0</v>
      </c>
      <c r="I50" s="44">
        <f>COUNTIF(Vertices[Out-Degree], "&gt;= " &amp; H50) - COUNTIF(Vertices[Out-Degree], "&gt;=" &amp;#REF!)</f>
        <v>0</v>
      </c>
      <c r="J50" s="43">
        <f>MAX(Vertices[Betweenness Centrality])</f>
        <v>0</v>
      </c>
      <c r="K50" s="44">
        <f>COUNTIF(Vertices[Betweenness Centrality], "&gt;= " &amp; J50) - COUNTIF(Vertices[Betweenness Centrality], "&gt;=" &amp;#REF!)</f>
        <v>0</v>
      </c>
      <c r="L50" s="43">
        <f>MAX(Vertices[Closeness Centrality])</f>
        <v>0</v>
      </c>
      <c r="M50" s="44">
        <f>COUNTIF(Vertices[Closeness Centrality], "&gt;= " &amp; L50) - COUNTIF(Vertices[Closeness Centrality], "&gt;=" &amp;#REF!)</f>
        <v>0</v>
      </c>
      <c r="N50" s="43">
        <f>MAX(Vertices[Eigenvector Centrality])</f>
        <v>0</v>
      </c>
      <c r="O50" s="44">
        <f>COUNTIF(Vertices[Eigenvector Centrality], "&gt;= " &amp; N50) - COUNTIF(Vertices[Eigenvector Centrality], "&gt;=" &amp;#REF!)</f>
        <v>0</v>
      </c>
      <c r="P50" s="43">
        <f>MAX(Vertices[PageRank])</f>
        <v>0</v>
      </c>
      <c r="Q50" s="44">
        <f>COUNTIF(Vertices[PageRank], "&gt;= " &amp; P50) - COUNTIF(Vertices[PageRank], "&gt;=" &amp;#REF!)</f>
        <v>0</v>
      </c>
      <c r="R50" s="43">
        <f>MAX(Vertices[Clustering Coefficient])</f>
        <v>0</v>
      </c>
      <c r="S50" s="47">
        <f>COUNTIF(Vertices[Clustering Coefficient], "&gt;= " &amp; R50) - COUNTIF(Vertices[Clustering Coefficient], "&gt;=" &amp;#REF!)</f>
        <v>0</v>
      </c>
      <c r="T50" s="43" t="e">
        <f ca="1">MAX(INDIRECT(DynamicFilterSourceColumnRange))</f>
        <v>#REF!</v>
      </c>
      <c r="U50" s="44" t="e">
        <f ca="1">COUNTIF(INDIRECT(DynamicFilterSourceColumnRange), "&gt;= " &amp; T50) - COUNTIF(INDIRECT(DynamicFilterSourceColumnRange), "&gt;=" &amp;#REF!)</f>
        <v>#REF!</v>
      </c>
    </row>
    <row r="52" spans="1:21" x14ac:dyDescent="0.2">
      <c r="A52" t="s">
        <v>163</v>
      </c>
      <c r="B52" t="s">
        <v>17</v>
      </c>
    </row>
    <row r="53" spans="1:21" x14ac:dyDescent="0.2">
      <c r="A53" s="35"/>
      <c r="B53" s="35"/>
    </row>
    <row r="66" spans="1:2" x14ac:dyDescent="0.2">
      <c r="A66" s="35" t="s">
        <v>81</v>
      </c>
      <c r="B66" s="48" t="str">
        <f>IF(COUNT(Vertices[Degree])&gt;0, D2, NoMetricMessage)</f>
        <v>Not Available</v>
      </c>
    </row>
    <row r="67" spans="1:2" x14ac:dyDescent="0.2">
      <c r="A67" s="35" t="s">
        <v>82</v>
      </c>
      <c r="B67" s="48" t="str">
        <f>IF(COUNT(Vertices[Degree])&gt;0, D50, NoMetricMessage)</f>
        <v>Not Available</v>
      </c>
    </row>
    <row r="68" spans="1:2" x14ac:dyDescent="0.2">
      <c r="A68" s="35" t="s">
        <v>83</v>
      </c>
      <c r="B68" s="49" t="str">
        <f>IFERROR(AVERAGE(Vertices[Degree]),NoMetricMessage)</f>
        <v>Not Available</v>
      </c>
    </row>
    <row r="69" spans="1:2" x14ac:dyDescent="0.2">
      <c r="A69" s="35" t="s">
        <v>84</v>
      </c>
      <c r="B69" s="49" t="str">
        <f>IFERROR(MEDIAN(Vertices[Degree]),NoMetricMessage)</f>
        <v>Not Available</v>
      </c>
    </row>
    <row r="80" spans="1:2" x14ac:dyDescent="0.2">
      <c r="A80" s="35" t="s">
        <v>88</v>
      </c>
      <c r="B80" s="48" t="str">
        <f>IF(COUNT(Vertices[In-Degree])&gt;0, F2, NoMetricMessage)</f>
        <v>Not Available</v>
      </c>
    </row>
    <row r="81" spans="1:2" x14ac:dyDescent="0.2">
      <c r="A81" s="35" t="s">
        <v>89</v>
      </c>
      <c r="B81" s="48" t="str">
        <f>IF(COUNT(Vertices[In-Degree])&gt;0, F50, NoMetricMessage)</f>
        <v>Not Available</v>
      </c>
    </row>
    <row r="82" spans="1:2" x14ac:dyDescent="0.2">
      <c r="A82" s="35" t="s">
        <v>90</v>
      </c>
      <c r="B82" s="49" t="str">
        <f>IFERROR(AVERAGE(Vertices[In-Degree]),NoMetricMessage)</f>
        <v>Not Available</v>
      </c>
    </row>
    <row r="83" spans="1:2" x14ac:dyDescent="0.2">
      <c r="A83" s="35" t="s">
        <v>91</v>
      </c>
      <c r="B83" s="49" t="str">
        <f>IFERROR(MEDIAN(Vertices[In-Degree]),NoMetricMessage)</f>
        <v>Not Available</v>
      </c>
    </row>
    <row r="94" spans="1:2" x14ac:dyDescent="0.2">
      <c r="A94" s="35" t="s">
        <v>94</v>
      </c>
      <c r="B94" s="48" t="str">
        <f>IF(COUNT(Vertices[Out-Degree])&gt;0, H2, NoMetricMessage)</f>
        <v>Not Available</v>
      </c>
    </row>
    <row r="95" spans="1:2" x14ac:dyDescent="0.2">
      <c r="A95" s="35" t="s">
        <v>95</v>
      </c>
      <c r="B95" s="48" t="str">
        <f>IF(COUNT(Vertices[Out-Degree])&gt;0, H50, NoMetricMessage)</f>
        <v>Not Available</v>
      </c>
    </row>
    <row r="96" spans="1:2" x14ac:dyDescent="0.2">
      <c r="A96" s="35" t="s">
        <v>96</v>
      </c>
      <c r="B96" s="49" t="str">
        <f>IFERROR(AVERAGE(Vertices[Out-Degree]),NoMetricMessage)</f>
        <v>Not Available</v>
      </c>
    </row>
    <row r="97" spans="1:2" x14ac:dyDescent="0.2">
      <c r="A97" s="35" t="s">
        <v>97</v>
      </c>
      <c r="B97" s="49" t="str">
        <f>IFERROR(MEDIAN(Vertices[Out-Degree]),NoMetricMessage)</f>
        <v>Not Available</v>
      </c>
    </row>
    <row r="108" spans="1:2" x14ac:dyDescent="0.2">
      <c r="A108" s="35" t="s">
        <v>100</v>
      </c>
      <c r="B108" s="49" t="str">
        <f>IF(COUNT(Vertices[Betweenness Centrality])&gt;0, J2, NoMetricMessage)</f>
        <v>Not Available</v>
      </c>
    </row>
    <row r="109" spans="1:2" x14ac:dyDescent="0.2">
      <c r="A109" s="35" t="s">
        <v>101</v>
      </c>
      <c r="B109" s="49" t="str">
        <f>IF(COUNT(Vertices[Betweenness Centrality])&gt;0, J50, NoMetricMessage)</f>
        <v>Not Available</v>
      </c>
    </row>
    <row r="110" spans="1:2" x14ac:dyDescent="0.2">
      <c r="A110" s="35" t="s">
        <v>102</v>
      </c>
      <c r="B110" s="49" t="str">
        <f>IFERROR(AVERAGE(Vertices[Betweenness Centrality]),NoMetricMessage)</f>
        <v>Not Available</v>
      </c>
    </row>
    <row r="111" spans="1:2" x14ac:dyDescent="0.2">
      <c r="A111" s="35" t="s">
        <v>103</v>
      </c>
      <c r="B111" s="49" t="str">
        <f>IFERROR(MEDIAN(Vertices[Betweenness Centrality]),NoMetricMessage)</f>
        <v>Not Available</v>
      </c>
    </row>
    <row r="122" spans="1:2" x14ac:dyDescent="0.2">
      <c r="A122" s="35" t="s">
        <v>106</v>
      </c>
      <c r="B122" s="49" t="str">
        <f>IF(COUNT(Vertices[Closeness Centrality])&gt;0, L2, NoMetricMessage)</f>
        <v>Not Available</v>
      </c>
    </row>
    <row r="123" spans="1:2" x14ac:dyDescent="0.2">
      <c r="A123" s="35" t="s">
        <v>107</v>
      </c>
      <c r="B123" s="49" t="str">
        <f>IF(COUNT(Vertices[Closeness Centrality])&gt;0, L50, NoMetricMessage)</f>
        <v>Not Available</v>
      </c>
    </row>
    <row r="124" spans="1:2" x14ac:dyDescent="0.2">
      <c r="A124" s="35" t="s">
        <v>108</v>
      </c>
      <c r="B124" s="49" t="str">
        <f>IFERROR(AVERAGE(Vertices[Closeness Centrality]),NoMetricMessage)</f>
        <v>Not Available</v>
      </c>
    </row>
    <row r="125" spans="1:2" x14ac:dyDescent="0.2">
      <c r="A125" s="35" t="s">
        <v>109</v>
      </c>
      <c r="B125" s="49" t="str">
        <f>IFERROR(MEDIAN(Vertices[Closeness Centrality]),NoMetricMessage)</f>
        <v>Not Available</v>
      </c>
    </row>
    <row r="136" spans="1:2" x14ac:dyDescent="0.2">
      <c r="A136" s="35" t="s">
        <v>112</v>
      </c>
      <c r="B136" s="49" t="str">
        <f>IF(COUNT(Vertices[Eigenvector Centrality])&gt;0, N2, NoMetricMessage)</f>
        <v>Not Available</v>
      </c>
    </row>
    <row r="137" spans="1:2" x14ac:dyDescent="0.2">
      <c r="A137" s="35" t="s">
        <v>113</v>
      </c>
      <c r="B137" s="49" t="str">
        <f>IF(COUNT(Vertices[Eigenvector Centrality])&gt;0, N50, NoMetricMessage)</f>
        <v>Not Available</v>
      </c>
    </row>
    <row r="138" spans="1:2" x14ac:dyDescent="0.2">
      <c r="A138" s="35" t="s">
        <v>114</v>
      </c>
      <c r="B138" s="49" t="str">
        <f>IFERROR(AVERAGE(Vertices[Eigenvector Centrality]),NoMetricMessage)</f>
        <v>Not Available</v>
      </c>
    </row>
    <row r="139" spans="1:2" x14ac:dyDescent="0.2">
      <c r="A139" s="35" t="s">
        <v>115</v>
      </c>
      <c r="B139" s="49" t="str">
        <f>IFERROR(MEDIAN(Vertices[Eigenvector Centrality]),NoMetricMessage)</f>
        <v>Not Available</v>
      </c>
    </row>
    <row r="150" spans="1:2" x14ac:dyDescent="0.2">
      <c r="A150" s="35" t="s">
        <v>140</v>
      </c>
      <c r="B150" s="49" t="str">
        <f>IF(COUNT(Vertices[PageRank])&gt;0, P2, NoMetricMessage)</f>
        <v>Not Available</v>
      </c>
    </row>
    <row r="151" spans="1:2" x14ac:dyDescent="0.2">
      <c r="A151" s="35" t="s">
        <v>141</v>
      </c>
      <c r="B151" s="49" t="str">
        <f>IF(COUNT(Vertices[PageRank])&gt;0, P50, NoMetricMessage)</f>
        <v>Not Available</v>
      </c>
    </row>
    <row r="152" spans="1:2" x14ac:dyDescent="0.2">
      <c r="A152" s="35" t="s">
        <v>142</v>
      </c>
      <c r="B152" s="49" t="str">
        <f>IFERROR(AVERAGE(Vertices[PageRank]),NoMetricMessage)</f>
        <v>Not Available</v>
      </c>
    </row>
    <row r="153" spans="1:2" x14ac:dyDescent="0.2">
      <c r="A153" s="35" t="s">
        <v>143</v>
      </c>
      <c r="B153" s="49" t="str">
        <f>IFERROR(MEDIAN(Vertices[PageRank]),NoMetricMessage)</f>
        <v>Not Available</v>
      </c>
    </row>
    <row r="164" spans="1:2" x14ac:dyDescent="0.2">
      <c r="A164" s="35" t="s">
        <v>118</v>
      </c>
      <c r="B164" s="49" t="str">
        <f>IF(COUNT(Vertices[Clustering Coefficient])&gt;0, R2, NoMetricMessage)</f>
        <v>Not Available</v>
      </c>
    </row>
    <row r="165" spans="1:2" x14ac:dyDescent="0.2">
      <c r="A165" s="35" t="s">
        <v>119</v>
      </c>
      <c r="B165" s="49" t="str">
        <f>IF(COUNT(Vertices[Clustering Coefficient])&gt;0, R50, NoMetricMessage)</f>
        <v>Not Available</v>
      </c>
    </row>
    <row r="166" spans="1:2" x14ac:dyDescent="0.2">
      <c r="A166" s="35" t="s">
        <v>120</v>
      </c>
      <c r="B166" s="49" t="str">
        <f>IFERROR(AVERAGE(Vertices[Clustering Coefficient]),NoMetricMessage)</f>
        <v>Not Available</v>
      </c>
    </row>
    <row r="167" spans="1:2" x14ac:dyDescent="0.2">
      <c r="A167" s="35" t="s">
        <v>121</v>
      </c>
      <c r="B167" s="49" t="str">
        <f>IFERROR(MEDIAN(Vertices[Clustering Coefficient]),NoMetricMessage)</f>
        <v>Not Available</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baseColWidth="10" defaultColWidth="8.83203125" defaultRowHeight="15" x14ac:dyDescent="0.2"/>
  <cols>
    <col min="1" max="1" width="10.5" style="1" bestFit="1" customWidth="1"/>
    <col min="2" max="2" width="12.5" style="1" bestFit="1" customWidth="1"/>
    <col min="3" max="3" width="22.83203125" bestFit="1" customWidth="1"/>
    <col min="4" max="4" width="16.83203125" bestFit="1" customWidth="1"/>
    <col min="5" max="6" width="16.83203125" customWidth="1"/>
    <col min="7" max="7" width="14.33203125" bestFit="1" customWidth="1"/>
    <col min="8" max="8" width="14.33203125" customWidth="1"/>
    <col min="10" max="10" width="39.1640625" bestFit="1" customWidth="1"/>
    <col min="11" max="11" width="10.83203125" bestFit="1" customWidth="1"/>
    <col min="13" max="13" width="8.5" bestFit="1" customWidth="1"/>
    <col min="14" max="14" width="10" bestFit="1" customWidth="1"/>
    <col min="15" max="15" width="11.83203125" bestFit="1" customWidth="1"/>
    <col min="16" max="16" width="12.1640625" bestFit="1" customWidth="1"/>
  </cols>
  <sheetData>
    <row r="1" spans="1:18" s="4" customFormat="1" ht="36" customHeight="1" x14ac:dyDescent="0.2">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2">
      <c r="A2" s="1" t="s">
        <v>51</v>
      </c>
      <c r="B2" s="1" t="s">
        <v>132</v>
      </c>
      <c r="C2" t="s">
        <v>54</v>
      </c>
      <c r="D2" t="s">
        <v>55</v>
      </c>
      <c r="E2" t="s">
        <v>55</v>
      </c>
      <c r="F2" s="1" t="s">
        <v>51</v>
      </c>
      <c r="G2" t="s">
        <v>65</v>
      </c>
      <c r="H2" t="s">
        <v>159</v>
      </c>
      <c r="J2" t="s">
        <v>19</v>
      </c>
      <c r="K2">
        <v>108</v>
      </c>
    </row>
    <row r="3" spans="1:18" x14ac:dyDescent="0.2">
      <c r="A3" s="1" t="s">
        <v>52</v>
      </c>
      <c r="B3" s="1" t="s">
        <v>133</v>
      </c>
      <c r="C3" t="s">
        <v>52</v>
      </c>
      <c r="D3" t="s">
        <v>56</v>
      </c>
      <c r="E3" t="s">
        <v>56</v>
      </c>
      <c r="F3" s="1" t="s">
        <v>52</v>
      </c>
      <c r="G3" t="s">
        <v>66</v>
      </c>
      <c r="H3" t="s">
        <v>68</v>
      </c>
      <c r="J3" t="s">
        <v>30</v>
      </c>
      <c r="K3" t="s">
        <v>3092</v>
      </c>
    </row>
    <row r="4" spans="1:18" x14ac:dyDescent="0.2">
      <c r="A4" s="1" t="s">
        <v>53</v>
      </c>
      <c r="B4" s="1" t="s">
        <v>134</v>
      </c>
      <c r="C4" t="s">
        <v>53</v>
      </c>
      <c r="D4" t="s">
        <v>57</v>
      </c>
      <c r="E4" t="s">
        <v>57</v>
      </c>
      <c r="F4" s="1" t="s">
        <v>53</v>
      </c>
      <c r="G4">
        <v>0</v>
      </c>
      <c r="H4" t="s">
        <v>69</v>
      </c>
      <c r="J4" s="12" t="s">
        <v>78</v>
      </c>
      <c r="K4" s="12"/>
    </row>
    <row r="5" spans="1:18" ht="409.6" x14ac:dyDescent="0.2">
      <c r="A5">
        <v>1</v>
      </c>
      <c r="B5" s="1" t="s">
        <v>135</v>
      </c>
      <c r="C5" t="s">
        <v>51</v>
      </c>
      <c r="D5" t="s">
        <v>58</v>
      </c>
      <c r="E5" t="s">
        <v>58</v>
      </c>
      <c r="F5">
        <v>1</v>
      </c>
      <c r="G5">
        <v>1</v>
      </c>
      <c r="H5" t="s">
        <v>70</v>
      </c>
      <c r="J5" t="s">
        <v>172</v>
      </c>
      <c r="K5" s="13" t="s">
        <v>3093</v>
      </c>
    </row>
    <row r="6" spans="1:18" x14ac:dyDescent="0.2">
      <c r="A6">
        <v>0</v>
      </c>
      <c r="B6" s="1" t="s">
        <v>136</v>
      </c>
      <c r="C6">
        <v>1</v>
      </c>
      <c r="D6" t="s">
        <v>59</v>
      </c>
      <c r="E6" t="s">
        <v>59</v>
      </c>
      <c r="F6">
        <v>0</v>
      </c>
      <c r="H6" t="s">
        <v>71</v>
      </c>
      <c r="J6" t="s">
        <v>173</v>
      </c>
      <c r="K6">
        <v>1</v>
      </c>
      <c r="R6" t="s">
        <v>129</v>
      </c>
    </row>
    <row r="7" spans="1:18" x14ac:dyDescent="0.2">
      <c r="A7">
        <v>2</v>
      </c>
      <c r="B7">
        <v>1</v>
      </c>
      <c r="C7">
        <v>0</v>
      </c>
      <c r="D7" t="s">
        <v>60</v>
      </c>
      <c r="E7" t="s">
        <v>60</v>
      </c>
      <c r="F7">
        <v>2</v>
      </c>
      <c r="H7" t="s">
        <v>72</v>
      </c>
      <c r="J7" t="s">
        <v>174</v>
      </c>
      <c r="K7" t="s">
        <v>175</v>
      </c>
    </row>
    <row r="8" spans="1:18" x14ac:dyDescent="0.2">
      <c r="A8"/>
      <c r="B8">
        <v>2</v>
      </c>
      <c r="C8">
        <v>2</v>
      </c>
      <c r="D8" t="s">
        <v>61</v>
      </c>
      <c r="E8" t="s">
        <v>61</v>
      </c>
      <c r="H8" t="s">
        <v>73</v>
      </c>
      <c r="J8" t="s">
        <v>176</v>
      </c>
      <c r="K8" t="s">
        <v>3091</v>
      </c>
    </row>
    <row r="9" spans="1:18" x14ac:dyDescent="0.2">
      <c r="A9"/>
      <c r="B9">
        <v>3</v>
      </c>
      <c r="C9">
        <v>4</v>
      </c>
      <c r="D9" t="s">
        <v>62</v>
      </c>
      <c r="E9" t="s">
        <v>62</v>
      </c>
      <c r="H9" t="s">
        <v>74</v>
      </c>
    </row>
    <row r="10" spans="1:18" x14ac:dyDescent="0.2">
      <c r="A10"/>
      <c r="B10">
        <v>4</v>
      </c>
      <c r="D10" t="s">
        <v>63</v>
      </c>
      <c r="E10" t="s">
        <v>63</v>
      </c>
      <c r="H10" t="s">
        <v>75</v>
      </c>
    </row>
    <row r="11" spans="1:18" x14ac:dyDescent="0.2">
      <c r="A11"/>
      <c r="B11">
        <v>5</v>
      </c>
      <c r="D11" t="s">
        <v>46</v>
      </c>
      <c r="E11">
        <v>1</v>
      </c>
      <c r="H11" t="s">
        <v>76</v>
      </c>
    </row>
    <row r="12" spans="1:18" x14ac:dyDescent="0.2">
      <c r="A12"/>
      <c r="B12"/>
      <c r="D12" t="s">
        <v>64</v>
      </c>
      <c r="E12">
        <v>2</v>
      </c>
      <c r="H12">
        <v>0</v>
      </c>
    </row>
    <row r="13" spans="1:18" x14ac:dyDescent="0.2">
      <c r="A13"/>
      <c r="B13"/>
      <c r="D13">
        <v>1</v>
      </c>
      <c r="E13">
        <v>3</v>
      </c>
      <c r="H13">
        <v>1</v>
      </c>
    </row>
    <row r="14" spans="1:18" x14ac:dyDescent="0.2">
      <c r="D14">
        <v>2</v>
      </c>
      <c r="E14">
        <v>4</v>
      </c>
      <c r="H14">
        <v>2</v>
      </c>
    </row>
    <row r="15" spans="1:18" x14ac:dyDescent="0.2">
      <c r="D15">
        <v>3</v>
      </c>
      <c r="E15">
        <v>5</v>
      </c>
      <c r="H15">
        <v>3</v>
      </c>
    </row>
    <row r="16" spans="1:18" x14ac:dyDescent="0.2">
      <c r="D16">
        <v>4</v>
      </c>
      <c r="E16">
        <v>6</v>
      </c>
      <c r="H16">
        <v>4</v>
      </c>
    </row>
    <row r="17" spans="4:8" x14ac:dyDescent="0.2">
      <c r="D17">
        <v>5</v>
      </c>
      <c r="E17">
        <v>7</v>
      </c>
      <c r="H17">
        <v>5</v>
      </c>
    </row>
    <row r="18" spans="4:8" x14ac:dyDescent="0.2">
      <c r="D18">
        <v>6</v>
      </c>
      <c r="E18">
        <v>8</v>
      </c>
      <c r="H18">
        <v>6</v>
      </c>
    </row>
    <row r="19" spans="4:8" x14ac:dyDescent="0.2">
      <c r="D19">
        <v>7</v>
      </c>
      <c r="E19">
        <v>9</v>
      </c>
      <c r="H19">
        <v>7</v>
      </c>
    </row>
    <row r="20" spans="4:8" x14ac:dyDescent="0.2">
      <c r="D20">
        <v>8</v>
      </c>
      <c r="H20">
        <v>8</v>
      </c>
    </row>
    <row r="21" spans="4:8" x14ac:dyDescent="0.2">
      <c r="D21">
        <v>9</v>
      </c>
      <c r="H21">
        <v>9</v>
      </c>
    </row>
    <row r="22" spans="4:8" x14ac:dyDescent="0.2">
      <c r="D22">
        <v>10</v>
      </c>
    </row>
    <row r="23" spans="4:8" x14ac:dyDescent="0.2">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D1522FBD-D803-4C8F-972B-18B29114CE3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dc:creator>
  <cp:lastModifiedBy>Mitch Chaiet</cp:lastModifiedBy>
  <dcterms:created xsi:type="dcterms:W3CDTF">2008-01-30T00:41:58Z</dcterms:created>
  <dcterms:modified xsi:type="dcterms:W3CDTF">2020-07-15T05:08:35Z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