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3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y Files\a work\spectek\projects\"/>
    </mc:Choice>
  </mc:AlternateContent>
  <bookViews>
    <workbookView xWindow="-12" yWindow="-12" windowWidth="19176" windowHeight="4308" tabRatio="835" firstSheet="7" activeTab="10"/>
  </bookViews>
  <sheets>
    <sheet name="RC12 &quot;A&quot; 26.2mm" sheetId="23" state="hidden" r:id="rId1"/>
    <sheet name="RC12 &quot;B&quot; original mm" sheetId="24" state="hidden" r:id="rId2"/>
    <sheet name="RC12 &quot;C&quot; 25.6mm" sheetId="25" state="hidden" r:id="rId3"/>
    <sheet name="RC12 final July 26 2017" sheetId="28" state="hidden" r:id="rId4"/>
    <sheet name="RC12 PREMIER" sheetId="27" state="hidden" r:id="rId5"/>
    <sheet name="RC12 PREMIER (2)" sheetId="29" state="hidden" r:id="rId6"/>
    <sheet name="compare" sheetId="26" state="hidden" r:id="rId7"/>
    <sheet name="538-KOMP NPSH" sheetId="31" r:id="rId8"/>
    <sheet name="538-KOMP" sheetId="39" r:id="rId9"/>
    <sheet name="538-4000R-F" sheetId="34" r:id="rId10"/>
    <sheet name="538-5500R-F" sheetId="35" r:id="rId11"/>
    <sheet name="400-KOMP NPSH" sheetId="38" r:id="rId12"/>
    <sheet name="400-KOMP" sheetId="37" r:id="rId13"/>
    <sheet name="400-900R-F" sheetId="36" r:id="rId14"/>
    <sheet name="400-1200R-F" sheetId="33" r:id="rId15"/>
    <sheet name="Pump coeff" sheetId="1" r:id="rId16"/>
  </sheets>
  <definedNames>
    <definedName name="_xlnm.Print_Area" localSheetId="14">'400-1200R-F'!$A$1:$AA$54</definedName>
    <definedName name="_xlnm.Print_Area" localSheetId="13">'400-900R-F'!$A$1:$AA$54</definedName>
    <definedName name="_xlnm.Print_Area" localSheetId="12">'400-KOMP'!$A$1:$AA$54</definedName>
    <definedName name="_xlnm.Print_Area" localSheetId="11">'400-KOMP NPSH'!$A$1:$AA$54</definedName>
    <definedName name="_xlnm.Print_Area" localSheetId="9">'538-4000R-F'!$A$1:$AA$54</definedName>
    <definedName name="_xlnm.Print_Area" localSheetId="10">'538-5500R-F'!$A$1:$AF$80</definedName>
    <definedName name="_xlnm.Print_Area" localSheetId="8">'538-KOMP'!$A$1:$AF$80</definedName>
    <definedName name="_xlnm.Print_Area" localSheetId="7">'538-KOMP NPSH'!$A$1:$AF$80</definedName>
    <definedName name="_xlnm.Print_Area" localSheetId="15">'Pump coeff'!$A$1:$CC$3</definedName>
    <definedName name="_xlnm.Print_Area" localSheetId="0">'RC12 "A" 26.2mm'!$A$1:$AA$54</definedName>
    <definedName name="_xlnm.Print_Area" localSheetId="1">'RC12 "B" original mm'!$A$1:$AA$54</definedName>
    <definedName name="_xlnm.Print_Area" localSheetId="2">'RC12 "C" 25.6mm'!$A$1:$AA$54</definedName>
    <definedName name="_xlnm.Print_Area" localSheetId="3">'RC12 final July 26 2017'!$A$1:$AA$54</definedName>
    <definedName name="pumpcat">'Pump coeff'!$A$2:$AL$3</definedName>
  </definedNames>
  <calcPr calcId="162913"/>
  <fileRecoveryPr autoRecover="0"/>
</workbook>
</file>

<file path=xl/calcChain.xml><?xml version="1.0" encoding="utf-8"?>
<calcChain xmlns="http://schemas.openxmlformats.org/spreadsheetml/2006/main">
  <c r="Z3" i="35" l="1"/>
  <c r="Y3" i="35"/>
  <c r="X3" i="35"/>
  <c r="W3" i="35"/>
  <c r="V3" i="35"/>
  <c r="U3" i="35"/>
  <c r="T3" i="35"/>
  <c r="S3" i="35"/>
  <c r="R3" i="35"/>
  <c r="Q3" i="35"/>
  <c r="P3" i="35"/>
  <c r="O3" i="35"/>
  <c r="N3" i="35"/>
  <c r="K3" i="35"/>
  <c r="J3" i="35"/>
  <c r="G3" i="35"/>
  <c r="F3" i="35"/>
  <c r="E3" i="35"/>
  <c r="C3" i="35"/>
  <c r="B3" i="35"/>
  <c r="A3" i="35"/>
  <c r="X6" i="1"/>
  <c r="L3" i="35" s="1"/>
  <c r="W6" i="1"/>
  <c r="T6" i="1"/>
  <c r="H3" i="35" s="1"/>
  <c r="S6" i="1"/>
  <c r="Q6" i="1"/>
  <c r="P6" i="1"/>
  <c r="D3" i="35" s="1"/>
  <c r="N6" i="1"/>
  <c r="M6" i="1"/>
  <c r="Z3" i="39"/>
  <c r="Y3" i="39"/>
  <c r="X3" i="39"/>
  <c r="W3" i="39"/>
  <c r="V3" i="39"/>
  <c r="U3" i="39"/>
  <c r="C9" i="39" s="1"/>
  <c r="S60" i="39" s="1"/>
  <c r="T3" i="39"/>
  <c r="S3" i="39"/>
  <c r="R3" i="39"/>
  <c r="Q3" i="39"/>
  <c r="P3" i="39"/>
  <c r="O3" i="39"/>
  <c r="N3" i="39"/>
  <c r="T72" i="39" s="1"/>
  <c r="L3" i="39"/>
  <c r="J3" i="39"/>
  <c r="Q70" i="39" s="1"/>
  <c r="H3" i="39"/>
  <c r="F3" i="39"/>
  <c r="E3" i="39"/>
  <c r="C3" i="39"/>
  <c r="B3" i="39"/>
  <c r="X5" i="1"/>
  <c r="W5" i="1"/>
  <c r="K3" i="39" s="1"/>
  <c r="T5" i="1"/>
  <c r="S5" i="1"/>
  <c r="U5" i="1" s="1"/>
  <c r="I3" i="39" s="1"/>
  <c r="Q5" i="1"/>
  <c r="P5" i="1"/>
  <c r="D3" i="39" s="1"/>
  <c r="N5" i="1"/>
  <c r="M5" i="1"/>
  <c r="A3" i="39" s="1"/>
  <c r="O3" i="31"/>
  <c r="P70" i="39"/>
  <c r="N70" i="39"/>
  <c r="M70" i="39"/>
  <c r="K70" i="39"/>
  <c r="H70" i="39"/>
  <c r="J70" i="39" s="1"/>
  <c r="G70" i="39"/>
  <c r="E70" i="39"/>
  <c r="N69" i="39"/>
  <c r="P69" i="39" s="1"/>
  <c r="K69" i="39"/>
  <c r="M69" i="39" s="1"/>
  <c r="H69" i="39"/>
  <c r="J69" i="39" s="1"/>
  <c r="G69" i="39"/>
  <c r="E69" i="39"/>
  <c r="P68" i="39"/>
  <c r="N68" i="39"/>
  <c r="K68" i="39"/>
  <c r="M68" i="39" s="1"/>
  <c r="J68" i="39"/>
  <c r="H68" i="39"/>
  <c r="G68" i="39"/>
  <c r="E68" i="39"/>
  <c r="O67" i="39"/>
  <c r="N67" i="39"/>
  <c r="P67" i="39" s="1"/>
  <c r="M67" i="39"/>
  <c r="L67" i="39"/>
  <c r="K67" i="39"/>
  <c r="H67" i="39"/>
  <c r="J67" i="39" s="1"/>
  <c r="E67" i="39"/>
  <c r="G67" i="39" s="1"/>
  <c r="P66" i="39"/>
  <c r="O66" i="39"/>
  <c r="N66" i="39"/>
  <c r="M66" i="39"/>
  <c r="L66" i="39"/>
  <c r="K66" i="39"/>
  <c r="J66" i="39"/>
  <c r="H66" i="39"/>
  <c r="G66" i="39"/>
  <c r="E66" i="39"/>
  <c r="O65" i="39"/>
  <c r="N65" i="39"/>
  <c r="P65" i="39" s="1"/>
  <c r="M65" i="39"/>
  <c r="L65" i="39"/>
  <c r="K65" i="39"/>
  <c r="H65" i="39"/>
  <c r="J65" i="39" s="1"/>
  <c r="E65" i="39"/>
  <c r="G65" i="39" s="1"/>
  <c r="O64" i="39"/>
  <c r="N64" i="39"/>
  <c r="P64" i="39" s="1"/>
  <c r="L64" i="39"/>
  <c r="K64" i="39"/>
  <c r="M64" i="39" s="1"/>
  <c r="J64" i="39"/>
  <c r="H64" i="39"/>
  <c r="G64" i="39"/>
  <c r="E64" i="39"/>
  <c r="O63" i="39"/>
  <c r="N63" i="39"/>
  <c r="P63" i="39" s="1"/>
  <c r="M63" i="39"/>
  <c r="L63" i="39"/>
  <c r="K63" i="39"/>
  <c r="J63" i="39"/>
  <c r="H63" i="39"/>
  <c r="E63" i="39"/>
  <c r="G63" i="39" s="1"/>
  <c r="O62" i="39"/>
  <c r="N62" i="39"/>
  <c r="P62" i="39" s="1"/>
  <c r="L62" i="39"/>
  <c r="K62" i="39"/>
  <c r="M62" i="39" s="1"/>
  <c r="J62" i="39"/>
  <c r="H62" i="39"/>
  <c r="G62" i="39"/>
  <c r="E62" i="39"/>
  <c r="O61" i="39"/>
  <c r="N61" i="39"/>
  <c r="P61" i="39" s="1"/>
  <c r="L61" i="39"/>
  <c r="K61" i="39"/>
  <c r="M61" i="39" s="1"/>
  <c r="J61" i="39"/>
  <c r="H61" i="39"/>
  <c r="G61" i="39"/>
  <c r="E61" i="39"/>
  <c r="V60" i="39"/>
  <c r="U60" i="39"/>
  <c r="P60" i="39"/>
  <c r="O60" i="39"/>
  <c r="N60" i="39"/>
  <c r="L60" i="39"/>
  <c r="K60" i="39"/>
  <c r="M60" i="39" s="1"/>
  <c r="J60" i="39"/>
  <c r="H60" i="39"/>
  <c r="G60" i="39"/>
  <c r="E60" i="39"/>
  <c r="A15" i="39"/>
  <c r="F15" i="39" s="1"/>
  <c r="AD9" i="39"/>
  <c r="AC9" i="39"/>
  <c r="AB9" i="39"/>
  <c r="AA9" i="39"/>
  <c r="Q66" i="39"/>
  <c r="T62" i="39"/>
  <c r="N70" i="38"/>
  <c r="P70" i="38" s="1"/>
  <c r="K70" i="38"/>
  <c r="M70" i="38" s="1"/>
  <c r="H70" i="38"/>
  <c r="J70" i="38" s="1"/>
  <c r="G70" i="38"/>
  <c r="E70" i="38"/>
  <c r="N69" i="38"/>
  <c r="P69" i="38" s="1"/>
  <c r="K69" i="38"/>
  <c r="M69" i="38" s="1"/>
  <c r="J69" i="38"/>
  <c r="H69" i="38"/>
  <c r="G69" i="38"/>
  <c r="E69" i="38"/>
  <c r="N68" i="38"/>
  <c r="P68" i="38" s="1"/>
  <c r="K68" i="38"/>
  <c r="M68" i="38" s="1"/>
  <c r="J68" i="38"/>
  <c r="H68" i="38"/>
  <c r="E68" i="38"/>
  <c r="G68" i="38" s="1"/>
  <c r="O67" i="38"/>
  <c r="N67" i="38"/>
  <c r="P67" i="38" s="1"/>
  <c r="L67" i="38"/>
  <c r="K67" i="38"/>
  <c r="M67" i="38" s="1"/>
  <c r="H67" i="38"/>
  <c r="J67" i="38" s="1"/>
  <c r="E67" i="38"/>
  <c r="G67" i="38" s="1"/>
  <c r="O66" i="38"/>
  <c r="N66" i="38"/>
  <c r="P66" i="38" s="1"/>
  <c r="L66" i="38"/>
  <c r="K66" i="38"/>
  <c r="M66" i="38" s="1"/>
  <c r="J66" i="38"/>
  <c r="H66" i="38"/>
  <c r="E66" i="38"/>
  <c r="G66" i="38" s="1"/>
  <c r="O65" i="38"/>
  <c r="N65" i="38"/>
  <c r="P65" i="38" s="1"/>
  <c r="L65" i="38"/>
  <c r="K65" i="38"/>
  <c r="M65" i="38" s="1"/>
  <c r="H65" i="38"/>
  <c r="J65" i="38" s="1"/>
  <c r="E65" i="38"/>
  <c r="G65" i="38" s="1"/>
  <c r="P64" i="38"/>
  <c r="O64" i="38"/>
  <c r="N64" i="38"/>
  <c r="L64" i="38"/>
  <c r="K64" i="38"/>
  <c r="M64" i="38" s="1"/>
  <c r="H64" i="38"/>
  <c r="J64" i="38" s="1"/>
  <c r="G64" i="38"/>
  <c r="E64" i="38"/>
  <c r="O63" i="38"/>
  <c r="P63" i="38" s="1"/>
  <c r="N63" i="38"/>
  <c r="L63" i="38"/>
  <c r="K63" i="38"/>
  <c r="M63" i="38" s="1"/>
  <c r="J63" i="38"/>
  <c r="H63" i="38"/>
  <c r="E63" i="38"/>
  <c r="G63" i="38" s="1"/>
  <c r="O62" i="38"/>
  <c r="N62" i="38"/>
  <c r="P62" i="38" s="1"/>
  <c r="L62" i="38"/>
  <c r="K62" i="38"/>
  <c r="M62" i="38" s="1"/>
  <c r="H62" i="38"/>
  <c r="J62" i="38" s="1"/>
  <c r="E62" i="38"/>
  <c r="G62" i="38" s="1"/>
  <c r="O61" i="38"/>
  <c r="N61" i="38"/>
  <c r="P61" i="38" s="1"/>
  <c r="L61" i="38"/>
  <c r="K61" i="38"/>
  <c r="M61" i="38" s="1"/>
  <c r="H61" i="38"/>
  <c r="J61" i="38" s="1"/>
  <c r="E61" i="38"/>
  <c r="G61" i="38" s="1"/>
  <c r="V60" i="38"/>
  <c r="U60" i="38"/>
  <c r="O60" i="38"/>
  <c r="N60" i="38"/>
  <c r="P60" i="38" s="1"/>
  <c r="L60" i="38"/>
  <c r="M60" i="38" s="1"/>
  <c r="K60" i="38"/>
  <c r="H60" i="38"/>
  <c r="J60" i="38" s="1"/>
  <c r="E60" i="38"/>
  <c r="G60" i="38" s="1"/>
  <c r="AD9" i="38"/>
  <c r="AC9" i="38"/>
  <c r="AB9" i="38"/>
  <c r="AA9" i="38"/>
  <c r="Z3" i="38"/>
  <c r="Y3" i="38"/>
  <c r="X3" i="38"/>
  <c r="W3" i="38"/>
  <c r="V3" i="38"/>
  <c r="U3" i="38"/>
  <c r="T3" i="38"/>
  <c r="S3" i="38"/>
  <c r="R3" i="38"/>
  <c r="Q3" i="38"/>
  <c r="P3" i="38"/>
  <c r="O3" i="38"/>
  <c r="N3" i="38"/>
  <c r="T72" i="38" s="1"/>
  <c r="L3" i="38"/>
  <c r="J3" i="38"/>
  <c r="Q70" i="38" s="1"/>
  <c r="H3" i="38"/>
  <c r="F3" i="38"/>
  <c r="Q66" i="38" s="1"/>
  <c r="E3" i="38"/>
  <c r="C3" i="38"/>
  <c r="T62" i="38" s="1"/>
  <c r="B3" i="38"/>
  <c r="H60" i="37"/>
  <c r="H61" i="37"/>
  <c r="H62" i="37"/>
  <c r="H63" i="37"/>
  <c r="H64" i="37"/>
  <c r="J64" i="37" s="1"/>
  <c r="H65" i="37"/>
  <c r="H66" i="37"/>
  <c r="H67" i="37"/>
  <c r="J67" i="37" s="1"/>
  <c r="N70" i="37"/>
  <c r="P70" i="37" s="1"/>
  <c r="K70" i="37"/>
  <c r="M70" i="37" s="1"/>
  <c r="J70" i="37"/>
  <c r="H70" i="37"/>
  <c r="G70" i="37"/>
  <c r="E70" i="37"/>
  <c r="N69" i="37"/>
  <c r="P69" i="37" s="1"/>
  <c r="K69" i="37"/>
  <c r="M69" i="37" s="1"/>
  <c r="J69" i="37"/>
  <c r="H69" i="37"/>
  <c r="E69" i="37"/>
  <c r="G69" i="37" s="1"/>
  <c r="N68" i="37"/>
  <c r="P68" i="37" s="1"/>
  <c r="K68" i="37"/>
  <c r="M68" i="37" s="1"/>
  <c r="J68" i="37"/>
  <c r="H68" i="37"/>
  <c r="G68" i="37"/>
  <c r="E68" i="37"/>
  <c r="O67" i="37"/>
  <c r="N67" i="37"/>
  <c r="L67" i="37"/>
  <c r="K67" i="37"/>
  <c r="E67" i="37"/>
  <c r="G67" i="37" s="1"/>
  <c r="O66" i="37"/>
  <c r="N66" i="37"/>
  <c r="L66" i="37"/>
  <c r="K66" i="37"/>
  <c r="J66" i="37"/>
  <c r="E66" i="37"/>
  <c r="G66" i="37" s="1"/>
  <c r="O65" i="37"/>
  <c r="N65" i="37"/>
  <c r="L65" i="37"/>
  <c r="K65" i="37"/>
  <c r="J65" i="37"/>
  <c r="E65" i="37"/>
  <c r="G65" i="37" s="1"/>
  <c r="O64" i="37"/>
  <c r="N64" i="37"/>
  <c r="L64" i="37"/>
  <c r="K64" i="37"/>
  <c r="E64" i="37"/>
  <c r="G64" i="37" s="1"/>
  <c r="O63" i="37"/>
  <c r="N63" i="37"/>
  <c r="L63" i="37"/>
  <c r="K63" i="37"/>
  <c r="J63" i="37"/>
  <c r="E63" i="37"/>
  <c r="G63" i="37" s="1"/>
  <c r="O62" i="37"/>
  <c r="N62" i="37"/>
  <c r="L62" i="37"/>
  <c r="K62" i="37"/>
  <c r="J62" i="37"/>
  <c r="E62" i="37"/>
  <c r="G62" i="37" s="1"/>
  <c r="O61" i="37"/>
  <c r="N61" i="37"/>
  <c r="L61" i="37"/>
  <c r="K61" i="37"/>
  <c r="J61" i="37"/>
  <c r="E61" i="37"/>
  <c r="G61" i="37" s="1"/>
  <c r="V60" i="37"/>
  <c r="U60" i="37"/>
  <c r="O60" i="37"/>
  <c r="N60" i="37"/>
  <c r="L60" i="37"/>
  <c r="K60" i="37"/>
  <c r="J60" i="37"/>
  <c r="E60" i="37"/>
  <c r="G60" i="37" s="1"/>
  <c r="A19" i="37"/>
  <c r="AD9" i="37"/>
  <c r="AC9" i="37"/>
  <c r="AB9" i="37"/>
  <c r="AA9" i="37"/>
  <c r="C9" i="37"/>
  <c r="S60" i="37" s="1"/>
  <c r="Z3" i="37"/>
  <c r="Y3" i="37"/>
  <c r="X3" i="37"/>
  <c r="W3" i="37"/>
  <c r="V3" i="37"/>
  <c r="U3" i="37"/>
  <c r="T3" i="37"/>
  <c r="S3" i="37"/>
  <c r="R3" i="37"/>
  <c r="Q3" i="37"/>
  <c r="P3" i="37"/>
  <c r="O3" i="37"/>
  <c r="B9" i="37" s="1"/>
  <c r="R60" i="37" s="1"/>
  <c r="N3" i="37"/>
  <c r="T72" i="37" s="1"/>
  <c r="L3" i="37"/>
  <c r="J3" i="37"/>
  <c r="Q70" i="37" s="1"/>
  <c r="H3" i="37"/>
  <c r="F3" i="37"/>
  <c r="Q66" i="37" s="1"/>
  <c r="E3" i="37"/>
  <c r="C3" i="37"/>
  <c r="T62" i="37" s="1"/>
  <c r="B3" i="37"/>
  <c r="P70" i="36"/>
  <c r="N70" i="36"/>
  <c r="K70" i="36"/>
  <c r="M70" i="36" s="1"/>
  <c r="J70" i="36"/>
  <c r="H70" i="36"/>
  <c r="G70" i="36"/>
  <c r="E70" i="36"/>
  <c r="N69" i="36"/>
  <c r="P69" i="36" s="1"/>
  <c r="K69" i="36"/>
  <c r="M69" i="36" s="1"/>
  <c r="J69" i="36"/>
  <c r="H69" i="36"/>
  <c r="E69" i="36"/>
  <c r="G69" i="36" s="1"/>
  <c r="N68" i="36"/>
  <c r="P68" i="36" s="1"/>
  <c r="K68" i="36"/>
  <c r="M68" i="36" s="1"/>
  <c r="J68" i="36"/>
  <c r="H68" i="36"/>
  <c r="G68" i="36"/>
  <c r="E68" i="36"/>
  <c r="O67" i="36"/>
  <c r="N67" i="36"/>
  <c r="L67" i="36"/>
  <c r="K67" i="36"/>
  <c r="H67" i="36"/>
  <c r="J67" i="36" s="1"/>
  <c r="E67" i="36"/>
  <c r="G67" i="36" s="1"/>
  <c r="O66" i="36"/>
  <c r="N66" i="36"/>
  <c r="L66" i="36"/>
  <c r="K66" i="36"/>
  <c r="H66" i="36"/>
  <c r="J66" i="36" s="1"/>
  <c r="E66" i="36"/>
  <c r="G66" i="36" s="1"/>
  <c r="O65" i="36"/>
  <c r="N65" i="36"/>
  <c r="P65" i="36" s="1"/>
  <c r="L65" i="36"/>
  <c r="K65" i="36"/>
  <c r="H65" i="36"/>
  <c r="J65" i="36" s="1"/>
  <c r="E65" i="36"/>
  <c r="G65" i="36" s="1"/>
  <c r="O64" i="36"/>
  <c r="N64" i="36"/>
  <c r="P64" i="36" s="1"/>
  <c r="L64" i="36"/>
  <c r="K64" i="36"/>
  <c r="H64" i="36"/>
  <c r="J64" i="36" s="1"/>
  <c r="E64" i="36"/>
  <c r="G64" i="36" s="1"/>
  <c r="O63" i="36"/>
  <c r="N63" i="36"/>
  <c r="P63" i="36" s="1"/>
  <c r="L63" i="36"/>
  <c r="K63" i="36"/>
  <c r="H63" i="36"/>
  <c r="J63" i="36" s="1"/>
  <c r="E63" i="36"/>
  <c r="G63" i="36" s="1"/>
  <c r="O62" i="36"/>
  <c r="N62" i="36"/>
  <c r="L62" i="36"/>
  <c r="K62" i="36"/>
  <c r="H62" i="36"/>
  <c r="J62" i="36" s="1"/>
  <c r="E62" i="36"/>
  <c r="G62" i="36" s="1"/>
  <c r="O61" i="36"/>
  <c r="N61" i="36"/>
  <c r="L61" i="36"/>
  <c r="K61" i="36"/>
  <c r="M61" i="36" s="1"/>
  <c r="H61" i="36"/>
  <c r="J61" i="36" s="1"/>
  <c r="E61" i="36"/>
  <c r="G61" i="36" s="1"/>
  <c r="V60" i="36"/>
  <c r="U60" i="36"/>
  <c r="O60" i="36"/>
  <c r="N60" i="36"/>
  <c r="L60" i="36"/>
  <c r="K60" i="36"/>
  <c r="H60" i="36"/>
  <c r="J60" i="36" s="1"/>
  <c r="E60" i="36"/>
  <c r="G60" i="36" s="1"/>
  <c r="A19" i="36"/>
  <c r="AD9" i="36"/>
  <c r="AC9" i="36"/>
  <c r="AB9" i="36"/>
  <c r="AA9" i="36"/>
  <c r="C9" i="36"/>
  <c r="S60" i="36" s="1"/>
  <c r="Z3" i="36"/>
  <c r="Y3" i="36"/>
  <c r="X3" i="36"/>
  <c r="W3" i="36"/>
  <c r="V3" i="36"/>
  <c r="U3" i="36"/>
  <c r="T3" i="36"/>
  <c r="S3" i="36"/>
  <c r="R3" i="36"/>
  <c r="Q3" i="36"/>
  <c r="P3" i="36"/>
  <c r="O3" i="36"/>
  <c r="B9" i="36" s="1"/>
  <c r="R60" i="36" s="1"/>
  <c r="N3" i="36"/>
  <c r="T72" i="36" s="1"/>
  <c r="L3" i="36"/>
  <c r="J3" i="36"/>
  <c r="Q70" i="36" s="1"/>
  <c r="H3" i="36"/>
  <c r="F3" i="36"/>
  <c r="Q66" i="36" s="1"/>
  <c r="E3" i="36"/>
  <c r="C3" i="36"/>
  <c r="T62" i="36" s="1"/>
  <c r="B3" i="36"/>
  <c r="N70" i="35"/>
  <c r="P70" i="35" s="1"/>
  <c r="K70" i="35"/>
  <c r="M70" i="35" s="1"/>
  <c r="J70" i="35"/>
  <c r="H70" i="35"/>
  <c r="G70" i="35"/>
  <c r="E70" i="35"/>
  <c r="N69" i="35"/>
  <c r="P69" i="35" s="1"/>
  <c r="K69" i="35"/>
  <c r="M69" i="35" s="1"/>
  <c r="H69" i="35"/>
  <c r="J69" i="35" s="1"/>
  <c r="E69" i="35"/>
  <c r="G69" i="35" s="1"/>
  <c r="N68" i="35"/>
  <c r="P68" i="35" s="1"/>
  <c r="K68" i="35"/>
  <c r="M68" i="35" s="1"/>
  <c r="J68" i="35"/>
  <c r="H68" i="35"/>
  <c r="G68" i="35"/>
  <c r="E68" i="35"/>
  <c r="O67" i="35"/>
  <c r="N67" i="35"/>
  <c r="L67" i="35"/>
  <c r="K67" i="35"/>
  <c r="H67" i="35"/>
  <c r="J67" i="35" s="1"/>
  <c r="E67" i="35"/>
  <c r="G67" i="35" s="1"/>
  <c r="O66" i="35"/>
  <c r="N66" i="35"/>
  <c r="L66" i="35"/>
  <c r="K66" i="35"/>
  <c r="M66" i="35" s="1"/>
  <c r="H66" i="35"/>
  <c r="J66" i="35" s="1"/>
  <c r="E66" i="35"/>
  <c r="G66" i="35" s="1"/>
  <c r="O65" i="35"/>
  <c r="N65" i="35"/>
  <c r="L65" i="35"/>
  <c r="K65" i="35"/>
  <c r="H65" i="35"/>
  <c r="J65" i="35" s="1"/>
  <c r="E65" i="35"/>
  <c r="G65" i="35" s="1"/>
  <c r="O64" i="35"/>
  <c r="N64" i="35"/>
  <c r="L64" i="35"/>
  <c r="K64" i="35"/>
  <c r="M64" i="35" s="1"/>
  <c r="H64" i="35"/>
  <c r="J64" i="35" s="1"/>
  <c r="E64" i="35"/>
  <c r="G64" i="35" s="1"/>
  <c r="O63" i="35"/>
  <c r="N63" i="35"/>
  <c r="L63" i="35"/>
  <c r="K63" i="35"/>
  <c r="H63" i="35"/>
  <c r="J63" i="35" s="1"/>
  <c r="E63" i="35"/>
  <c r="G63" i="35" s="1"/>
  <c r="O62" i="35"/>
  <c r="N62" i="35"/>
  <c r="L62" i="35"/>
  <c r="K62" i="35"/>
  <c r="H62" i="35"/>
  <c r="J62" i="35" s="1"/>
  <c r="E62" i="35"/>
  <c r="G62" i="35" s="1"/>
  <c r="O61" i="35"/>
  <c r="N61" i="35"/>
  <c r="L61" i="35"/>
  <c r="K61" i="35"/>
  <c r="M61" i="35" s="1"/>
  <c r="H61" i="35"/>
  <c r="J61" i="35" s="1"/>
  <c r="E61" i="35"/>
  <c r="G61" i="35" s="1"/>
  <c r="V60" i="35"/>
  <c r="U60" i="35"/>
  <c r="O60" i="35"/>
  <c r="N60" i="35"/>
  <c r="L60" i="35"/>
  <c r="K60" i="35"/>
  <c r="H60" i="35"/>
  <c r="J60" i="35" s="1"/>
  <c r="E60" i="35"/>
  <c r="G60" i="35" s="1"/>
  <c r="A19" i="35"/>
  <c r="AD9" i="35"/>
  <c r="AC9" i="35"/>
  <c r="AB9" i="35"/>
  <c r="AA9" i="35"/>
  <c r="C9" i="35"/>
  <c r="S60" i="35" s="1"/>
  <c r="B9" i="35"/>
  <c r="R60" i="35" s="1"/>
  <c r="T72" i="35"/>
  <c r="Q70" i="35"/>
  <c r="Q66" i="35"/>
  <c r="T62" i="35"/>
  <c r="N70" i="34"/>
  <c r="P70" i="34" s="1"/>
  <c r="K70" i="34"/>
  <c r="M70" i="34" s="1"/>
  <c r="H70" i="34"/>
  <c r="J70" i="34" s="1"/>
  <c r="G70" i="34"/>
  <c r="E70" i="34"/>
  <c r="N69" i="34"/>
  <c r="P69" i="34" s="1"/>
  <c r="K69" i="34"/>
  <c r="M69" i="34" s="1"/>
  <c r="J69" i="34"/>
  <c r="H69" i="34"/>
  <c r="G69" i="34"/>
  <c r="E69" i="34"/>
  <c r="N68" i="34"/>
  <c r="P68" i="34" s="1"/>
  <c r="K68" i="34"/>
  <c r="M68" i="34" s="1"/>
  <c r="J68" i="34"/>
  <c r="H68" i="34"/>
  <c r="G68" i="34"/>
  <c r="E68" i="34"/>
  <c r="O67" i="34"/>
  <c r="N67" i="34"/>
  <c r="L67" i="34"/>
  <c r="K67" i="34"/>
  <c r="M67" i="34" s="1"/>
  <c r="H67" i="34"/>
  <c r="J67" i="34" s="1"/>
  <c r="E67" i="34"/>
  <c r="G67" i="34" s="1"/>
  <c r="O66" i="34"/>
  <c r="N66" i="34"/>
  <c r="L66" i="34"/>
  <c r="K66" i="34"/>
  <c r="H66" i="34"/>
  <c r="J66" i="34" s="1"/>
  <c r="E66" i="34"/>
  <c r="G66" i="34" s="1"/>
  <c r="O65" i="34"/>
  <c r="N65" i="34"/>
  <c r="L65" i="34"/>
  <c r="K65" i="34"/>
  <c r="H65" i="34"/>
  <c r="J65" i="34" s="1"/>
  <c r="E65" i="34"/>
  <c r="G65" i="34" s="1"/>
  <c r="O64" i="34"/>
  <c r="N64" i="34"/>
  <c r="L64" i="34"/>
  <c r="K64" i="34"/>
  <c r="H64" i="34"/>
  <c r="J64" i="34" s="1"/>
  <c r="E64" i="34"/>
  <c r="G64" i="34" s="1"/>
  <c r="O63" i="34"/>
  <c r="N63" i="34"/>
  <c r="L63" i="34"/>
  <c r="K63" i="34"/>
  <c r="H63" i="34"/>
  <c r="J63" i="34" s="1"/>
  <c r="E63" i="34"/>
  <c r="G63" i="34" s="1"/>
  <c r="O62" i="34"/>
  <c r="N62" i="34"/>
  <c r="L62" i="34"/>
  <c r="K62" i="34"/>
  <c r="H62" i="34"/>
  <c r="J62" i="34" s="1"/>
  <c r="E62" i="34"/>
  <c r="G62" i="34" s="1"/>
  <c r="O61" i="34"/>
  <c r="N61" i="34"/>
  <c r="L61" i="34"/>
  <c r="K61" i="34"/>
  <c r="H61" i="34"/>
  <c r="J61" i="34" s="1"/>
  <c r="E61" i="34"/>
  <c r="G61" i="34" s="1"/>
  <c r="V60" i="34"/>
  <c r="U60" i="34"/>
  <c r="O60" i="34"/>
  <c r="N60" i="34"/>
  <c r="L60" i="34"/>
  <c r="K60" i="34"/>
  <c r="H60" i="34"/>
  <c r="J60" i="34" s="1"/>
  <c r="E60" i="34"/>
  <c r="G60" i="34" s="1"/>
  <c r="A19" i="34"/>
  <c r="AD9" i="34"/>
  <c r="AC9" i="34"/>
  <c r="AB9" i="34"/>
  <c r="AA9" i="34"/>
  <c r="C9" i="34"/>
  <c r="S60" i="34" s="1"/>
  <c r="Z3" i="34"/>
  <c r="Y3" i="34"/>
  <c r="X3" i="34"/>
  <c r="W3" i="34"/>
  <c r="V3" i="34"/>
  <c r="U3" i="34"/>
  <c r="T3" i="34"/>
  <c r="S3" i="34"/>
  <c r="R3" i="34"/>
  <c r="Q3" i="34"/>
  <c r="P3" i="34"/>
  <c r="O3" i="34"/>
  <c r="N3" i="34"/>
  <c r="T72" i="34" s="1"/>
  <c r="L3" i="34"/>
  <c r="J3" i="34"/>
  <c r="Q70" i="34" s="1"/>
  <c r="H3" i="34"/>
  <c r="F3" i="34"/>
  <c r="Q66" i="34" s="1"/>
  <c r="E3" i="34"/>
  <c r="C3" i="34"/>
  <c r="T62" i="34" s="1"/>
  <c r="B3" i="34"/>
  <c r="N70" i="33"/>
  <c r="P70" i="33" s="1"/>
  <c r="K70" i="33"/>
  <c r="M70" i="33" s="1"/>
  <c r="J70" i="33"/>
  <c r="H70" i="33"/>
  <c r="G70" i="33"/>
  <c r="E70" i="33"/>
  <c r="N69" i="33"/>
  <c r="P69" i="33" s="1"/>
  <c r="K69" i="33"/>
  <c r="M69" i="33" s="1"/>
  <c r="J69" i="33"/>
  <c r="H69" i="33"/>
  <c r="E69" i="33"/>
  <c r="G69" i="33" s="1"/>
  <c r="N68" i="33"/>
  <c r="P68" i="33" s="1"/>
  <c r="K68" i="33"/>
  <c r="M68" i="33" s="1"/>
  <c r="J68" i="33"/>
  <c r="H68" i="33"/>
  <c r="G68" i="33"/>
  <c r="E68" i="33"/>
  <c r="O67" i="33"/>
  <c r="N67" i="33"/>
  <c r="L67" i="33"/>
  <c r="K67" i="33"/>
  <c r="H67" i="33"/>
  <c r="J67" i="33" s="1"/>
  <c r="E67" i="33"/>
  <c r="G67" i="33" s="1"/>
  <c r="O66" i="33"/>
  <c r="N66" i="33"/>
  <c r="L66" i="33"/>
  <c r="K66" i="33"/>
  <c r="H66" i="33"/>
  <c r="J66" i="33" s="1"/>
  <c r="E66" i="33"/>
  <c r="G66" i="33" s="1"/>
  <c r="O65" i="33"/>
  <c r="N65" i="33"/>
  <c r="L65" i="33"/>
  <c r="K65" i="33"/>
  <c r="H65" i="33"/>
  <c r="J65" i="33" s="1"/>
  <c r="E65" i="33"/>
  <c r="G65" i="33" s="1"/>
  <c r="O64" i="33"/>
  <c r="N64" i="33"/>
  <c r="L64" i="33"/>
  <c r="K64" i="33"/>
  <c r="H64" i="33"/>
  <c r="J64" i="33" s="1"/>
  <c r="E64" i="33"/>
  <c r="G64" i="33" s="1"/>
  <c r="O63" i="33"/>
  <c r="N63" i="33"/>
  <c r="L63" i="33"/>
  <c r="K63" i="33"/>
  <c r="H63" i="33"/>
  <c r="J63" i="33" s="1"/>
  <c r="E63" i="33"/>
  <c r="G63" i="33" s="1"/>
  <c r="O62" i="33"/>
  <c r="N62" i="33"/>
  <c r="L62" i="33"/>
  <c r="K62" i="33"/>
  <c r="H62" i="33"/>
  <c r="J62" i="33" s="1"/>
  <c r="E62" i="33"/>
  <c r="G62" i="33" s="1"/>
  <c r="O61" i="33"/>
  <c r="N61" i="33"/>
  <c r="L61" i="33"/>
  <c r="K61" i="33"/>
  <c r="H61" i="33"/>
  <c r="J61" i="33" s="1"/>
  <c r="E61" i="33"/>
  <c r="G61" i="33" s="1"/>
  <c r="V60" i="33"/>
  <c r="U60" i="33"/>
  <c r="O60" i="33"/>
  <c r="N60" i="33"/>
  <c r="L60" i="33"/>
  <c r="K60" i="33"/>
  <c r="H60" i="33"/>
  <c r="J60" i="33" s="1"/>
  <c r="E60" i="33"/>
  <c r="G60" i="33" s="1"/>
  <c r="AD9" i="33"/>
  <c r="AC9" i="33"/>
  <c r="AB9" i="33"/>
  <c r="AA9" i="33"/>
  <c r="C9" i="33"/>
  <c r="S60" i="33" s="1"/>
  <c r="Z3" i="33"/>
  <c r="Y3" i="33"/>
  <c r="X3" i="33"/>
  <c r="W3" i="33"/>
  <c r="V3" i="33"/>
  <c r="U3" i="33"/>
  <c r="T3" i="33"/>
  <c r="S3" i="33"/>
  <c r="R3" i="33"/>
  <c r="Q3" i="33"/>
  <c r="P3" i="33"/>
  <c r="O3" i="33"/>
  <c r="B9" i="33" s="1"/>
  <c r="R60" i="33" s="1"/>
  <c r="N3" i="33"/>
  <c r="T72" i="33" s="1"/>
  <c r="L3" i="33"/>
  <c r="J3" i="33"/>
  <c r="Q70" i="33" s="1"/>
  <c r="H3" i="33"/>
  <c r="F3" i="33"/>
  <c r="Q66" i="33" s="1"/>
  <c r="E3" i="33"/>
  <c r="C3" i="33"/>
  <c r="T62" i="33" s="1"/>
  <c r="B3" i="33"/>
  <c r="U6" i="1" l="1"/>
  <c r="I3" i="35" s="1"/>
  <c r="A15" i="33"/>
  <c r="S70" i="38"/>
  <c r="A19" i="39"/>
  <c r="A19" i="33"/>
  <c r="A17" i="33" s="1"/>
  <c r="A19" i="38"/>
  <c r="F19" i="38" s="1"/>
  <c r="G19" i="38" s="1"/>
  <c r="Y70" i="38" s="1"/>
  <c r="A15" i="37"/>
  <c r="T66" i="37"/>
  <c r="A15" i="35"/>
  <c r="AB15" i="35" s="1"/>
  <c r="A15" i="36"/>
  <c r="G3" i="39"/>
  <c r="A17" i="39"/>
  <c r="AA17" i="39" s="1"/>
  <c r="J12" i="39"/>
  <c r="J13" i="39"/>
  <c r="AA15" i="39"/>
  <c r="G15" i="39"/>
  <c r="Y66" i="39" s="1"/>
  <c r="AD17" i="39"/>
  <c r="AC17" i="39"/>
  <c r="V72" i="39"/>
  <c r="U72" i="39"/>
  <c r="Q68" i="39"/>
  <c r="Q67" i="39" s="1"/>
  <c r="R66" i="39"/>
  <c r="R70" i="39"/>
  <c r="U62" i="39"/>
  <c r="T61" i="39"/>
  <c r="V62" i="39"/>
  <c r="J16" i="39"/>
  <c r="D17" i="39"/>
  <c r="B19" i="39"/>
  <c r="AA19" i="39"/>
  <c r="S66" i="39"/>
  <c r="S70" i="39"/>
  <c r="E17" i="39"/>
  <c r="X68" i="39" s="1"/>
  <c r="C19" i="39"/>
  <c r="AB19" i="39"/>
  <c r="T66" i="39"/>
  <c r="T70" i="39"/>
  <c r="Q72" i="39"/>
  <c r="S72" i="39" s="1"/>
  <c r="B15" i="39"/>
  <c r="J15" i="39"/>
  <c r="F17" i="39"/>
  <c r="G17" i="39" s="1"/>
  <c r="Y68" i="39" s="1"/>
  <c r="D19" i="39"/>
  <c r="E19" i="39" s="1"/>
  <c r="X70" i="39" s="1"/>
  <c r="Q62" i="39"/>
  <c r="S62" i="39" s="1"/>
  <c r="A11" i="39"/>
  <c r="C15" i="39"/>
  <c r="A21" i="39"/>
  <c r="A20" i="39" s="1"/>
  <c r="B9" i="39"/>
  <c r="R60" i="39" s="1"/>
  <c r="B11" i="39"/>
  <c r="D15" i="39"/>
  <c r="E15" i="39" s="1"/>
  <c r="X66" i="39" s="1"/>
  <c r="AB15" i="39"/>
  <c r="F19" i="39"/>
  <c r="G19" i="39" s="1"/>
  <c r="Y70" i="39" s="1"/>
  <c r="Q68" i="38"/>
  <c r="Q69" i="38" s="1"/>
  <c r="R66" i="38"/>
  <c r="V72" i="38"/>
  <c r="U72" i="38"/>
  <c r="R70" i="38"/>
  <c r="U62" i="38"/>
  <c r="T61" i="38"/>
  <c r="V62" i="38"/>
  <c r="S68" i="38"/>
  <c r="S66" i="38"/>
  <c r="A15" i="38"/>
  <c r="AB19" i="38"/>
  <c r="T66" i="38"/>
  <c r="T64" i="38" s="1"/>
  <c r="T70" i="38"/>
  <c r="Q72" i="38"/>
  <c r="S72" i="38" s="1"/>
  <c r="B15" i="38"/>
  <c r="D19" i="38"/>
  <c r="E19" i="38" s="1"/>
  <c r="X70" i="38" s="1"/>
  <c r="Q62" i="38"/>
  <c r="R69" i="38"/>
  <c r="A11" i="38"/>
  <c r="C15" i="38"/>
  <c r="A21" i="38"/>
  <c r="R62" i="38"/>
  <c r="S69" i="38"/>
  <c r="AA19" i="38"/>
  <c r="B9" i="38"/>
  <c r="R60" i="38" s="1"/>
  <c r="B11" i="38"/>
  <c r="S62" i="38"/>
  <c r="C9" i="38"/>
  <c r="S60" i="38" s="1"/>
  <c r="R68" i="38"/>
  <c r="P67" i="33"/>
  <c r="P66" i="33"/>
  <c r="P65" i="33"/>
  <c r="P64" i="33"/>
  <c r="P63" i="33"/>
  <c r="P62" i="33"/>
  <c r="P61" i="33"/>
  <c r="P60" i="33"/>
  <c r="M67" i="33"/>
  <c r="M64" i="33"/>
  <c r="M63" i="33"/>
  <c r="M61" i="33"/>
  <c r="M60" i="33"/>
  <c r="M65" i="33"/>
  <c r="M66" i="33"/>
  <c r="M62" i="33"/>
  <c r="P66" i="36"/>
  <c r="P62" i="36"/>
  <c r="P60" i="36"/>
  <c r="M67" i="36"/>
  <c r="M64" i="36"/>
  <c r="M63" i="36"/>
  <c r="P61" i="36"/>
  <c r="M65" i="36"/>
  <c r="M66" i="36"/>
  <c r="M60" i="36"/>
  <c r="M62" i="36"/>
  <c r="P67" i="36"/>
  <c r="P67" i="37"/>
  <c r="P66" i="37"/>
  <c r="P64" i="37"/>
  <c r="P62" i="37"/>
  <c r="P60" i="37"/>
  <c r="M67" i="37"/>
  <c r="M63" i="37"/>
  <c r="M62" i="37"/>
  <c r="M60" i="37"/>
  <c r="M64" i="37"/>
  <c r="M65" i="37"/>
  <c r="M66" i="37"/>
  <c r="M61" i="37"/>
  <c r="P63" i="37"/>
  <c r="P65" i="37"/>
  <c r="P61" i="37"/>
  <c r="P67" i="35"/>
  <c r="P66" i="35"/>
  <c r="P65" i="35"/>
  <c r="P64" i="35"/>
  <c r="P63" i="35"/>
  <c r="P62" i="35"/>
  <c r="P61" i="35"/>
  <c r="P60" i="35"/>
  <c r="M67" i="35"/>
  <c r="M65" i="35"/>
  <c r="M63" i="35"/>
  <c r="M62" i="35"/>
  <c r="M60" i="35"/>
  <c r="P66" i="34"/>
  <c r="P64" i="34"/>
  <c r="P63" i="34"/>
  <c r="P62" i="34"/>
  <c r="P61" i="34"/>
  <c r="P60" i="34"/>
  <c r="M66" i="34"/>
  <c r="M65" i="34"/>
  <c r="M64" i="34"/>
  <c r="M63" i="34"/>
  <c r="M60" i="34"/>
  <c r="P67" i="34"/>
  <c r="P65" i="34"/>
  <c r="M61" i="34"/>
  <c r="M62" i="34"/>
  <c r="R70" i="37"/>
  <c r="Q68" i="37"/>
  <c r="Q69" i="37" s="1"/>
  <c r="R66" i="37"/>
  <c r="U62" i="37"/>
  <c r="T61" i="37"/>
  <c r="V62" i="37"/>
  <c r="T64" i="37"/>
  <c r="S68" i="37"/>
  <c r="V72" i="37"/>
  <c r="U72" i="37"/>
  <c r="J16" i="37"/>
  <c r="B19" i="37"/>
  <c r="AA19" i="37"/>
  <c r="S66" i="37"/>
  <c r="S70" i="37"/>
  <c r="T70" i="37"/>
  <c r="Q72" i="37"/>
  <c r="Q71" i="37" s="1"/>
  <c r="B15" i="37"/>
  <c r="J15" i="37"/>
  <c r="D19" i="37"/>
  <c r="E19" i="37" s="1"/>
  <c r="X70" i="37" s="1"/>
  <c r="Q62" i="37"/>
  <c r="R62" i="37" s="1"/>
  <c r="U66" i="37"/>
  <c r="R69" i="37"/>
  <c r="C19" i="37"/>
  <c r="A11" i="37"/>
  <c r="C15" i="37"/>
  <c r="AA15" i="37"/>
  <c r="A21" i="37"/>
  <c r="A20" i="37" s="1"/>
  <c r="V66" i="37"/>
  <c r="S69" i="37"/>
  <c r="AB19" i="37"/>
  <c r="B11" i="37"/>
  <c r="D15" i="37"/>
  <c r="AB15" i="37"/>
  <c r="F19" i="37"/>
  <c r="S62" i="37"/>
  <c r="C11" i="37"/>
  <c r="G19" i="37"/>
  <c r="Y70" i="37" s="1"/>
  <c r="R68" i="37"/>
  <c r="E15" i="37"/>
  <c r="X66" i="37" s="1"/>
  <c r="Q68" i="36"/>
  <c r="Q69" i="36" s="1"/>
  <c r="R66" i="36"/>
  <c r="V72" i="36"/>
  <c r="U72" i="36"/>
  <c r="R70" i="36"/>
  <c r="U62" i="36"/>
  <c r="T61" i="36"/>
  <c r="T64" i="36"/>
  <c r="T63" i="36" s="1"/>
  <c r="V62" i="36"/>
  <c r="J16" i="36"/>
  <c r="B19" i="36"/>
  <c r="AA19" i="36"/>
  <c r="S66" i="36"/>
  <c r="S70" i="36"/>
  <c r="C19" i="36"/>
  <c r="AB19" i="36"/>
  <c r="T66" i="36"/>
  <c r="T70" i="36"/>
  <c r="Q72" i="36"/>
  <c r="Q71" i="36" s="1"/>
  <c r="B15" i="36"/>
  <c r="J15" i="36"/>
  <c r="D19" i="36"/>
  <c r="E19" i="36" s="1"/>
  <c r="X70" i="36" s="1"/>
  <c r="Q62" i="36"/>
  <c r="R69" i="36"/>
  <c r="A11" i="36"/>
  <c r="B11" i="36" s="1"/>
  <c r="C15" i="36"/>
  <c r="AA15" i="36"/>
  <c r="A21" i="36"/>
  <c r="R62" i="36"/>
  <c r="S69" i="36"/>
  <c r="D15" i="36"/>
  <c r="E15" i="36" s="1"/>
  <c r="X66" i="36" s="1"/>
  <c r="AB15" i="36"/>
  <c r="F19" i="36"/>
  <c r="B21" i="36"/>
  <c r="S62" i="36"/>
  <c r="A17" i="36"/>
  <c r="G19" i="36"/>
  <c r="Y70" i="36" s="1"/>
  <c r="R68" i="36"/>
  <c r="R70" i="35"/>
  <c r="U62" i="35"/>
  <c r="T61" i="35"/>
  <c r="V62" i="35"/>
  <c r="V72" i="35"/>
  <c r="U72" i="35"/>
  <c r="Q68" i="35"/>
  <c r="Q69" i="35" s="1"/>
  <c r="R69" i="35" s="1"/>
  <c r="R66" i="35"/>
  <c r="J16" i="35"/>
  <c r="B19" i="35"/>
  <c r="AA19" i="35"/>
  <c r="S66" i="35"/>
  <c r="S70" i="35"/>
  <c r="C19" i="35"/>
  <c r="AB19" i="35"/>
  <c r="T66" i="35"/>
  <c r="T64" i="35" s="1"/>
  <c r="T63" i="35" s="1"/>
  <c r="T70" i="35"/>
  <c r="Q72" i="35"/>
  <c r="Q71" i="35" s="1"/>
  <c r="R71" i="35" s="1"/>
  <c r="B15" i="35"/>
  <c r="J15" i="35"/>
  <c r="D19" i="35"/>
  <c r="E19" i="35" s="1"/>
  <c r="X70" i="35" s="1"/>
  <c r="Q62" i="35"/>
  <c r="R62" i="35" s="1"/>
  <c r="A11" i="35"/>
  <c r="C11" i="35" s="1"/>
  <c r="C15" i="35"/>
  <c r="A21" i="35"/>
  <c r="S72" i="35"/>
  <c r="D15" i="35"/>
  <c r="E15" i="35" s="1"/>
  <c r="X66" i="35" s="1"/>
  <c r="F19" i="35"/>
  <c r="G19" i="35" s="1"/>
  <c r="Y70" i="35" s="1"/>
  <c r="A20" i="35"/>
  <c r="C21" i="35"/>
  <c r="S68" i="34"/>
  <c r="Q68" i="34"/>
  <c r="Q67" i="34"/>
  <c r="R67" i="34" s="1"/>
  <c r="R66" i="34"/>
  <c r="V72" i="34"/>
  <c r="U72" i="34"/>
  <c r="R70" i="34"/>
  <c r="U62" i="34"/>
  <c r="T61" i="34"/>
  <c r="V62" i="34"/>
  <c r="J16" i="34"/>
  <c r="B19" i="34"/>
  <c r="AA19" i="34"/>
  <c r="S66" i="34"/>
  <c r="S70" i="34"/>
  <c r="A15" i="34"/>
  <c r="C19" i="34"/>
  <c r="AB19" i="34"/>
  <c r="T66" i="34"/>
  <c r="T64" i="34" s="1"/>
  <c r="S67" i="34"/>
  <c r="T70" i="34"/>
  <c r="Q72" i="34"/>
  <c r="Q71" i="34" s="1"/>
  <c r="J15" i="34"/>
  <c r="D19" i="34"/>
  <c r="Q62" i="34"/>
  <c r="R72" i="34"/>
  <c r="A11" i="34"/>
  <c r="B11" i="34" s="1"/>
  <c r="E19" i="34"/>
  <c r="X70" i="34" s="1"/>
  <c r="A21" i="34"/>
  <c r="A20" i="34" s="1"/>
  <c r="C20" i="34" s="1"/>
  <c r="B9" i="34"/>
  <c r="R60" i="34" s="1"/>
  <c r="F19" i="34"/>
  <c r="G19" i="34" s="1"/>
  <c r="Y70" i="34" s="1"/>
  <c r="S62" i="34"/>
  <c r="V72" i="33"/>
  <c r="U72" i="33"/>
  <c r="Q68" i="33"/>
  <c r="Q69" i="33" s="1"/>
  <c r="S69" i="33" s="1"/>
  <c r="R66" i="33"/>
  <c r="R70" i="33"/>
  <c r="U62" i="33"/>
  <c r="T61" i="33"/>
  <c r="V62" i="33"/>
  <c r="T64" i="33"/>
  <c r="T63" i="33" s="1"/>
  <c r="AA17" i="33"/>
  <c r="A16" i="33"/>
  <c r="AB17" i="33"/>
  <c r="A18" i="33"/>
  <c r="F17" i="33"/>
  <c r="D17" i="33"/>
  <c r="E17" i="33" s="1"/>
  <c r="X68" i="33" s="1"/>
  <c r="B16" i="33"/>
  <c r="J16" i="33"/>
  <c r="B19" i="33"/>
  <c r="AA19" i="33"/>
  <c r="S66" i="33"/>
  <c r="S70" i="33"/>
  <c r="C16" i="33"/>
  <c r="T66" i="33"/>
  <c r="T70" i="33"/>
  <c r="Q72" i="33"/>
  <c r="Q71" i="33" s="1"/>
  <c r="AB19" i="33"/>
  <c r="B15" i="33"/>
  <c r="J15" i="33"/>
  <c r="D19" i="33"/>
  <c r="E19" i="33" s="1"/>
  <c r="X70" i="33" s="1"/>
  <c r="Q62" i="33"/>
  <c r="R69" i="33"/>
  <c r="C19" i="33"/>
  <c r="A11" i="33"/>
  <c r="C11" i="33" s="1"/>
  <c r="C15" i="33"/>
  <c r="AA15" i="33"/>
  <c r="G17" i="33"/>
  <c r="Y68" i="33" s="1"/>
  <c r="B18" i="33"/>
  <c r="A21" i="33"/>
  <c r="B21" i="33" s="1"/>
  <c r="R62" i="33"/>
  <c r="B11" i="33"/>
  <c r="D15" i="33"/>
  <c r="E15" i="33" s="1"/>
  <c r="X66" i="33" s="1"/>
  <c r="AB15" i="33"/>
  <c r="C18" i="33"/>
  <c r="F19" i="33"/>
  <c r="G19" i="33" s="1"/>
  <c r="Y70" i="33" s="1"/>
  <c r="S62" i="33"/>
  <c r="C17" i="33"/>
  <c r="B17" i="33"/>
  <c r="N60" i="31"/>
  <c r="AD9" i="31"/>
  <c r="AC9" i="31"/>
  <c r="AB9" i="31"/>
  <c r="AA9" i="31"/>
  <c r="O67" i="31"/>
  <c r="O66" i="31"/>
  <c r="O65" i="31"/>
  <c r="O64" i="31"/>
  <c r="O63" i="31"/>
  <c r="O62" i="31"/>
  <c r="O61" i="31"/>
  <c r="O60" i="31"/>
  <c r="L67" i="31"/>
  <c r="L66" i="31"/>
  <c r="L65" i="31"/>
  <c r="L64" i="31"/>
  <c r="L63" i="31"/>
  <c r="L62" i="31"/>
  <c r="L61" i="31"/>
  <c r="L60" i="31"/>
  <c r="K70" i="31"/>
  <c r="K69" i="31"/>
  <c r="K68" i="31"/>
  <c r="K67" i="31"/>
  <c r="K66" i="31"/>
  <c r="K65" i="31"/>
  <c r="K64" i="31"/>
  <c r="K63" i="31"/>
  <c r="K62" i="31"/>
  <c r="K61" i="31"/>
  <c r="K60" i="31"/>
  <c r="AA15" i="35" l="1"/>
  <c r="B11" i="35"/>
  <c r="Q67" i="35"/>
  <c r="F15" i="37"/>
  <c r="G15" i="37" s="1"/>
  <c r="Y66" i="37" s="1"/>
  <c r="J13" i="37"/>
  <c r="J12" i="37"/>
  <c r="S72" i="33"/>
  <c r="S69" i="35"/>
  <c r="R72" i="35"/>
  <c r="S72" i="36"/>
  <c r="R72" i="36"/>
  <c r="R72" i="37"/>
  <c r="J15" i="38"/>
  <c r="C19" i="38"/>
  <c r="C11" i="36"/>
  <c r="B19" i="38"/>
  <c r="J16" i="38"/>
  <c r="F15" i="36"/>
  <c r="G15" i="36" s="1"/>
  <c r="Y66" i="36" s="1"/>
  <c r="J13" i="36"/>
  <c r="J12" i="36"/>
  <c r="F15" i="33"/>
  <c r="G15" i="33" s="1"/>
  <c r="Y66" i="33" s="1"/>
  <c r="J12" i="33"/>
  <c r="J13" i="33"/>
  <c r="F15" i="35"/>
  <c r="G15" i="35" s="1"/>
  <c r="Y66" i="35" s="1"/>
  <c r="J13" i="35"/>
  <c r="J12" i="35"/>
  <c r="A17" i="35"/>
  <c r="R68" i="35"/>
  <c r="S72" i="37"/>
  <c r="Q67" i="38"/>
  <c r="A17" i="37"/>
  <c r="R72" i="39"/>
  <c r="A18" i="39"/>
  <c r="AB18" i="39" s="1"/>
  <c r="B17" i="39"/>
  <c r="C17" i="39"/>
  <c r="I17" i="39" s="1"/>
  <c r="AA68" i="39" s="1"/>
  <c r="AB17" i="39"/>
  <c r="A16" i="39"/>
  <c r="AB16" i="39" s="1"/>
  <c r="AD15" i="39"/>
  <c r="AC15" i="39"/>
  <c r="R62" i="39"/>
  <c r="B20" i="39"/>
  <c r="AA20" i="39"/>
  <c r="AB20" i="39"/>
  <c r="C20" i="39"/>
  <c r="S67" i="39"/>
  <c r="R67" i="39"/>
  <c r="Q61" i="39"/>
  <c r="Q64" i="39"/>
  <c r="Q63" i="39" s="1"/>
  <c r="U61" i="39"/>
  <c r="V61" i="39"/>
  <c r="R68" i="39"/>
  <c r="Q69" i="39"/>
  <c r="I15" i="39"/>
  <c r="AA66" i="39" s="1"/>
  <c r="H15" i="39"/>
  <c r="Z66" i="39" s="1"/>
  <c r="B18" i="39"/>
  <c r="AA21" i="39"/>
  <c r="C21" i="39"/>
  <c r="AB21" i="39"/>
  <c r="H19" i="39"/>
  <c r="Z70" i="39" s="1"/>
  <c r="I19" i="39"/>
  <c r="AA70" i="39" s="1"/>
  <c r="A13" i="39"/>
  <c r="D11" i="39"/>
  <c r="E11" i="39" s="1"/>
  <c r="X62" i="39" s="1"/>
  <c r="J10" i="39"/>
  <c r="J9" i="39"/>
  <c r="C11" i="39"/>
  <c r="AB11" i="39"/>
  <c r="AA11" i="39"/>
  <c r="A10" i="39"/>
  <c r="A12" i="39"/>
  <c r="F11" i="39"/>
  <c r="G11" i="39" s="1"/>
  <c r="Y62" i="39" s="1"/>
  <c r="T71" i="39"/>
  <c r="V70" i="39"/>
  <c r="U70" i="39"/>
  <c r="AC70" i="39" s="1"/>
  <c r="AD19" i="39"/>
  <c r="AC19" i="39"/>
  <c r="F16" i="39"/>
  <c r="G16" i="39" s="1"/>
  <c r="Y67" i="39" s="1"/>
  <c r="AA16" i="39"/>
  <c r="Q71" i="39"/>
  <c r="B21" i="39"/>
  <c r="W62" i="39"/>
  <c r="V66" i="39"/>
  <c r="U66" i="39"/>
  <c r="AC66" i="39" s="1"/>
  <c r="T68" i="39"/>
  <c r="T67" i="39" s="1"/>
  <c r="T64" i="39"/>
  <c r="S68" i="39"/>
  <c r="H19" i="38"/>
  <c r="Z70" i="38" s="1"/>
  <c r="I19" i="38"/>
  <c r="AA70" i="38" s="1"/>
  <c r="A13" i="38"/>
  <c r="D11" i="38"/>
  <c r="E11" i="38" s="1"/>
  <c r="X62" i="38" s="1"/>
  <c r="J10" i="38"/>
  <c r="J9" i="38"/>
  <c r="AB11" i="38"/>
  <c r="AA11" i="38"/>
  <c r="A10" i="38"/>
  <c r="F11" i="38"/>
  <c r="G11" i="38" s="1"/>
  <c r="Y62" i="38" s="1"/>
  <c r="Q71" i="38"/>
  <c r="R72" i="38"/>
  <c r="T71" i="38"/>
  <c r="V70" i="38"/>
  <c r="U70" i="38"/>
  <c r="AC70" i="38" s="1"/>
  <c r="W62" i="38"/>
  <c r="C11" i="38"/>
  <c r="AA21" i="38"/>
  <c r="AB21" i="38"/>
  <c r="F15" i="38"/>
  <c r="G15" i="38" s="1"/>
  <c r="Y66" i="38" s="1"/>
  <c r="A17" i="38"/>
  <c r="A16" i="38" s="1"/>
  <c r="AB15" i="38"/>
  <c r="D15" i="38"/>
  <c r="E15" i="38" s="1"/>
  <c r="X66" i="38" s="1"/>
  <c r="AA15" i="38"/>
  <c r="J13" i="38"/>
  <c r="J12" i="38"/>
  <c r="W64" i="38"/>
  <c r="V64" i="38"/>
  <c r="U64" i="38"/>
  <c r="T65" i="38"/>
  <c r="I15" i="38"/>
  <c r="AA66" i="38" s="1"/>
  <c r="H15" i="38"/>
  <c r="Z66" i="38" s="1"/>
  <c r="B21" i="38"/>
  <c r="AD19" i="38"/>
  <c r="AC19" i="38"/>
  <c r="T68" i="38"/>
  <c r="T67" i="38" s="1"/>
  <c r="V66" i="38"/>
  <c r="U66" i="38"/>
  <c r="T63" i="38"/>
  <c r="C21" i="38"/>
  <c r="U61" i="38"/>
  <c r="V61" i="38"/>
  <c r="Q61" i="38"/>
  <c r="Q64" i="38"/>
  <c r="A20" i="38"/>
  <c r="W62" i="36"/>
  <c r="W66" i="37"/>
  <c r="W62" i="35"/>
  <c r="W62" i="34"/>
  <c r="S71" i="37"/>
  <c r="R71" i="37"/>
  <c r="AA20" i="37"/>
  <c r="AB20" i="37"/>
  <c r="B20" i="37"/>
  <c r="C20" i="37"/>
  <c r="H19" i="37"/>
  <c r="Z70" i="37" s="1"/>
  <c r="I19" i="37"/>
  <c r="AA70" i="37" s="1"/>
  <c r="I11" i="37"/>
  <c r="AA62" i="37" s="1"/>
  <c r="H11" i="37"/>
  <c r="Z62" i="37" s="1"/>
  <c r="AD62" i="37" s="1"/>
  <c r="C21" i="37"/>
  <c r="AD19" i="37"/>
  <c r="AC19" i="37"/>
  <c r="AC66" i="37"/>
  <c r="W62" i="37"/>
  <c r="Q67" i="37"/>
  <c r="AD15" i="37"/>
  <c r="AC15" i="37"/>
  <c r="V64" i="37"/>
  <c r="U64" i="37"/>
  <c r="T65" i="37"/>
  <c r="B21" i="37"/>
  <c r="I15" i="37"/>
  <c r="AA66" i="37" s="1"/>
  <c r="AD66" i="37" s="1"/>
  <c r="H15" i="37"/>
  <c r="Z66" i="37" s="1"/>
  <c r="A13" i="37"/>
  <c r="A12" i="37" s="1"/>
  <c r="D11" i="37"/>
  <c r="E11" i="37" s="1"/>
  <c r="X62" i="37" s="1"/>
  <c r="J10" i="37"/>
  <c r="J9" i="37"/>
  <c r="AB11" i="37"/>
  <c r="AA11" i="37"/>
  <c r="A10" i="37"/>
  <c r="F11" i="37"/>
  <c r="G11" i="37" s="1"/>
  <c r="Y62" i="37" s="1"/>
  <c r="Q61" i="37"/>
  <c r="Q64" i="37"/>
  <c r="T71" i="37"/>
  <c r="V70" i="37"/>
  <c r="AD70" i="37" s="1"/>
  <c r="U70" i="37"/>
  <c r="AC70" i="37" s="1"/>
  <c r="T68" i="37"/>
  <c r="T63" i="37"/>
  <c r="AA21" i="37"/>
  <c r="AB21" i="37"/>
  <c r="U61" i="37"/>
  <c r="V61" i="37"/>
  <c r="V63" i="36"/>
  <c r="U63" i="36"/>
  <c r="S71" i="36"/>
  <c r="R71" i="36"/>
  <c r="I15" i="36"/>
  <c r="AA66" i="36" s="1"/>
  <c r="H15" i="36"/>
  <c r="Z66" i="36" s="1"/>
  <c r="I11" i="36"/>
  <c r="AA62" i="36" s="1"/>
  <c r="H11" i="36"/>
  <c r="Z62" i="36" s="1"/>
  <c r="AD15" i="36"/>
  <c r="AC15" i="36"/>
  <c r="A13" i="36"/>
  <c r="D11" i="36"/>
  <c r="E11" i="36" s="1"/>
  <c r="X62" i="36" s="1"/>
  <c r="J10" i="36"/>
  <c r="J9" i="36"/>
  <c r="AB11" i="36"/>
  <c r="AA11" i="36"/>
  <c r="A10" i="36"/>
  <c r="F11" i="36"/>
  <c r="G11" i="36" s="1"/>
  <c r="Y62" i="36" s="1"/>
  <c r="V64" i="36"/>
  <c r="U64" i="36"/>
  <c r="T65" i="36"/>
  <c r="AA21" i="36"/>
  <c r="AB21" i="36"/>
  <c r="U61" i="36"/>
  <c r="V61" i="36"/>
  <c r="AA17" i="36"/>
  <c r="AB17" i="36"/>
  <c r="A16" i="36"/>
  <c r="A18" i="36"/>
  <c r="F17" i="36"/>
  <c r="G17" i="36" s="1"/>
  <c r="Y68" i="36" s="1"/>
  <c r="D17" i="36"/>
  <c r="E17" i="36" s="1"/>
  <c r="X68" i="36" s="1"/>
  <c r="Q67" i="36"/>
  <c r="H19" i="36"/>
  <c r="Z70" i="36" s="1"/>
  <c r="I19" i="36"/>
  <c r="AA70" i="36" s="1"/>
  <c r="C17" i="36"/>
  <c r="T68" i="36"/>
  <c r="V66" i="36"/>
  <c r="T67" i="36"/>
  <c r="U66" i="36"/>
  <c r="AC66" i="36" s="1"/>
  <c r="B17" i="36"/>
  <c r="AD19" i="36"/>
  <c r="AC19" i="36"/>
  <c r="A20" i="36"/>
  <c r="C21" i="36"/>
  <c r="Q61" i="36"/>
  <c r="Q64" i="36"/>
  <c r="T71" i="36"/>
  <c r="V70" i="36"/>
  <c r="U70" i="36"/>
  <c r="AC70" i="36" s="1"/>
  <c r="AD62" i="36"/>
  <c r="S68" i="36"/>
  <c r="V63" i="35"/>
  <c r="U63" i="35"/>
  <c r="AA20" i="35"/>
  <c r="AB20" i="35"/>
  <c r="AA21" i="35"/>
  <c r="AB21" i="35"/>
  <c r="B21" i="35"/>
  <c r="C20" i="35"/>
  <c r="H19" i="35"/>
  <c r="Z70" i="35" s="1"/>
  <c r="I19" i="35"/>
  <c r="AA70" i="35" s="1"/>
  <c r="AD19" i="35"/>
  <c r="AC19" i="35"/>
  <c r="B20" i="35"/>
  <c r="V64" i="35"/>
  <c r="U64" i="35"/>
  <c r="T65" i="35"/>
  <c r="Q61" i="35"/>
  <c r="Q64" i="35"/>
  <c r="Q63" i="35" s="1"/>
  <c r="T71" i="35"/>
  <c r="V70" i="35"/>
  <c r="U70" i="35"/>
  <c r="AC70" i="35" s="1"/>
  <c r="U61" i="35"/>
  <c r="V61" i="35"/>
  <c r="S71" i="35"/>
  <c r="I15" i="35"/>
  <c r="AA66" i="35" s="1"/>
  <c r="H15" i="35"/>
  <c r="Z66" i="35" s="1"/>
  <c r="V66" i="35"/>
  <c r="U66" i="35"/>
  <c r="AC66" i="35" s="1"/>
  <c r="T68" i="35"/>
  <c r="T67" i="35" s="1"/>
  <c r="I11" i="35"/>
  <c r="AA62" i="35" s="1"/>
  <c r="H11" i="35"/>
  <c r="Z62" i="35" s="1"/>
  <c r="AD15" i="35"/>
  <c r="AC15" i="35"/>
  <c r="S62" i="35"/>
  <c r="A13" i="35"/>
  <c r="A12" i="35" s="1"/>
  <c r="D11" i="35"/>
  <c r="E11" i="35" s="1"/>
  <c r="X62" i="35" s="1"/>
  <c r="J10" i="35"/>
  <c r="J9" i="35"/>
  <c r="AB11" i="35"/>
  <c r="AA11" i="35"/>
  <c r="A10" i="35"/>
  <c r="F11" i="35"/>
  <c r="G11" i="35" s="1"/>
  <c r="Y62" i="35" s="1"/>
  <c r="S68" i="35"/>
  <c r="S71" i="34"/>
  <c r="R71" i="34"/>
  <c r="AA21" i="34"/>
  <c r="AB21" i="34"/>
  <c r="C21" i="34"/>
  <c r="T71" i="34"/>
  <c r="V70" i="34"/>
  <c r="U70" i="34"/>
  <c r="AC70" i="34" s="1"/>
  <c r="AD19" i="34"/>
  <c r="AC19" i="34"/>
  <c r="F15" i="34"/>
  <c r="G15" i="34" s="1"/>
  <c r="Y66" i="34" s="1"/>
  <c r="AB15" i="34"/>
  <c r="D15" i="34"/>
  <c r="E15" i="34" s="1"/>
  <c r="X66" i="34" s="1"/>
  <c r="AA15" i="34"/>
  <c r="J13" i="34"/>
  <c r="B15" i="34"/>
  <c r="J12" i="34"/>
  <c r="A17" i="34"/>
  <c r="A16" i="34" s="1"/>
  <c r="Q61" i="34"/>
  <c r="Q63" i="34"/>
  <c r="Q64" i="34"/>
  <c r="V66" i="34"/>
  <c r="T67" i="34"/>
  <c r="U66" i="34"/>
  <c r="T68" i="34"/>
  <c r="U61" i="34"/>
  <c r="V61" i="34"/>
  <c r="V64" i="34"/>
  <c r="U64" i="34"/>
  <c r="T65" i="34"/>
  <c r="B21" i="34"/>
  <c r="S72" i="34"/>
  <c r="T63" i="34"/>
  <c r="C15" i="34"/>
  <c r="R68" i="34"/>
  <c r="Q69" i="34"/>
  <c r="R62" i="34"/>
  <c r="A13" i="34"/>
  <c r="D11" i="34"/>
  <c r="E11" i="34" s="1"/>
  <c r="X62" i="34" s="1"/>
  <c r="J10" i="34"/>
  <c r="J9" i="34"/>
  <c r="C11" i="34"/>
  <c r="AA11" i="34"/>
  <c r="A10" i="34"/>
  <c r="AB11" i="34"/>
  <c r="A12" i="34"/>
  <c r="F11" i="34"/>
  <c r="G11" i="34" s="1"/>
  <c r="Y62" i="34" s="1"/>
  <c r="H19" i="34"/>
  <c r="Z70" i="34" s="1"/>
  <c r="I19" i="34"/>
  <c r="AA70" i="34" s="1"/>
  <c r="AB20" i="34"/>
  <c r="AA20" i="34"/>
  <c r="B20" i="34"/>
  <c r="R71" i="33"/>
  <c r="S71" i="33"/>
  <c r="I11" i="33"/>
  <c r="AA62" i="33" s="1"/>
  <c r="H11" i="33"/>
  <c r="Z62" i="33" s="1"/>
  <c r="V63" i="33"/>
  <c r="U63" i="33"/>
  <c r="T71" i="33"/>
  <c r="V70" i="33"/>
  <c r="U70" i="33"/>
  <c r="AC70" i="33" s="1"/>
  <c r="AD62" i="33"/>
  <c r="R68" i="33"/>
  <c r="A20" i="33"/>
  <c r="V66" i="33"/>
  <c r="U66" i="33"/>
  <c r="AC66" i="33" s="1"/>
  <c r="T68" i="33"/>
  <c r="AD19" i="33"/>
  <c r="AC19" i="33"/>
  <c r="Q67" i="33"/>
  <c r="V64" i="33"/>
  <c r="U64" i="33"/>
  <c r="T65" i="33"/>
  <c r="R72" i="33"/>
  <c r="D18" i="33"/>
  <c r="E18" i="33" s="1"/>
  <c r="X69" i="33" s="1"/>
  <c r="AB18" i="33"/>
  <c r="AA18" i="33"/>
  <c r="F18" i="33"/>
  <c r="G18" i="33" s="1"/>
  <c r="Y69" i="33" s="1"/>
  <c r="U61" i="33"/>
  <c r="V61" i="33"/>
  <c r="H19" i="33"/>
  <c r="Z70" i="33" s="1"/>
  <c r="I19" i="33"/>
  <c r="AA70" i="33" s="1"/>
  <c r="I18" i="33"/>
  <c r="AA69" i="33" s="1"/>
  <c r="H18" i="33"/>
  <c r="Z69" i="33" s="1"/>
  <c r="AA21" i="33"/>
  <c r="AB21" i="33"/>
  <c r="I17" i="33"/>
  <c r="AA68" i="33" s="1"/>
  <c r="H17" i="33"/>
  <c r="Z68" i="33" s="1"/>
  <c r="H16" i="33"/>
  <c r="Z67" i="33" s="1"/>
  <c r="I16" i="33"/>
  <c r="AA67" i="33" s="1"/>
  <c r="F16" i="33"/>
  <c r="G16" i="33" s="1"/>
  <c r="Y67" i="33" s="1"/>
  <c r="AB16" i="33"/>
  <c r="D16" i="33"/>
  <c r="E16" i="33" s="1"/>
  <c r="X67" i="33" s="1"/>
  <c r="AA16" i="33"/>
  <c r="S68" i="33"/>
  <c r="C21" i="33"/>
  <c r="AD15" i="33"/>
  <c r="AC15" i="33"/>
  <c r="AD17" i="33"/>
  <c r="AC17" i="33"/>
  <c r="A13" i="33"/>
  <c r="D11" i="33"/>
  <c r="E11" i="33" s="1"/>
  <c r="X62" i="33" s="1"/>
  <c r="J10" i="33"/>
  <c r="J9" i="33"/>
  <c r="AB11" i="33"/>
  <c r="AA11" i="33"/>
  <c r="A10" i="33"/>
  <c r="A12" i="33"/>
  <c r="F11" i="33"/>
  <c r="G11" i="33" s="1"/>
  <c r="Y62" i="33" s="1"/>
  <c r="I15" i="33"/>
  <c r="AA66" i="33" s="1"/>
  <c r="H15" i="33"/>
  <c r="Z66" i="33" s="1"/>
  <c r="Q61" i="33"/>
  <c r="Q64" i="33"/>
  <c r="Q63" i="33" s="1"/>
  <c r="W62" i="33"/>
  <c r="Z3" i="31"/>
  <c r="Y3" i="31"/>
  <c r="X3" i="31"/>
  <c r="W3" i="31"/>
  <c r="V3" i="31"/>
  <c r="U3" i="31"/>
  <c r="T3" i="31"/>
  <c r="S3" i="31"/>
  <c r="R3" i="31"/>
  <c r="Q3" i="31"/>
  <c r="P3" i="31"/>
  <c r="B9" i="31"/>
  <c r="R60" i="31" s="1"/>
  <c r="N3" i="31"/>
  <c r="T72" i="31" s="1"/>
  <c r="L3" i="31"/>
  <c r="J3" i="31"/>
  <c r="A19" i="31" s="1"/>
  <c r="H3" i="31"/>
  <c r="F3" i="31"/>
  <c r="T66" i="31" s="1"/>
  <c r="E3" i="31"/>
  <c r="C3" i="31"/>
  <c r="Q62" i="31" s="1"/>
  <c r="B3" i="31"/>
  <c r="N70" i="31"/>
  <c r="P70" i="31" s="1"/>
  <c r="M70" i="31"/>
  <c r="H70" i="31"/>
  <c r="J70" i="31" s="1"/>
  <c r="E70" i="31"/>
  <c r="G70" i="31" s="1"/>
  <c r="N69" i="31"/>
  <c r="P69" i="31" s="1"/>
  <c r="M69" i="31"/>
  <c r="H69" i="31"/>
  <c r="J69" i="31" s="1"/>
  <c r="E69" i="31"/>
  <c r="G69" i="31" s="1"/>
  <c r="N68" i="31"/>
  <c r="P68" i="31" s="1"/>
  <c r="M68" i="31"/>
  <c r="H68" i="31"/>
  <c r="J68" i="31" s="1"/>
  <c r="E68" i="31"/>
  <c r="G68" i="31" s="1"/>
  <c r="N67" i="31"/>
  <c r="P67" i="31" s="1"/>
  <c r="M67" i="31"/>
  <c r="H67" i="31"/>
  <c r="J67" i="31" s="1"/>
  <c r="E67" i="31"/>
  <c r="G67" i="31" s="1"/>
  <c r="N66" i="31"/>
  <c r="P66" i="31" s="1"/>
  <c r="M66" i="31"/>
  <c r="H66" i="31"/>
  <c r="J66" i="31" s="1"/>
  <c r="E66" i="31"/>
  <c r="G66" i="31" s="1"/>
  <c r="N65" i="31"/>
  <c r="P65" i="31" s="1"/>
  <c r="M65" i="31"/>
  <c r="H65" i="31"/>
  <c r="J65" i="31" s="1"/>
  <c r="E65" i="31"/>
  <c r="G65" i="31" s="1"/>
  <c r="N64" i="31"/>
  <c r="P64" i="31" s="1"/>
  <c r="M64" i="31"/>
  <c r="H64" i="31"/>
  <c r="J64" i="31" s="1"/>
  <c r="E64" i="31"/>
  <c r="G64" i="31" s="1"/>
  <c r="N63" i="31"/>
  <c r="P63" i="31" s="1"/>
  <c r="M63" i="31"/>
  <c r="H63" i="31"/>
  <c r="J63" i="31" s="1"/>
  <c r="E63" i="31"/>
  <c r="G63" i="31" s="1"/>
  <c r="N62" i="31"/>
  <c r="P62" i="31" s="1"/>
  <c r="M62" i="31"/>
  <c r="H62" i="31"/>
  <c r="J62" i="31" s="1"/>
  <c r="E62" i="31"/>
  <c r="G62" i="31" s="1"/>
  <c r="N61" i="31"/>
  <c r="P61" i="31" s="1"/>
  <c r="M61" i="31"/>
  <c r="H61" i="31"/>
  <c r="J61" i="31" s="1"/>
  <c r="E61" i="31"/>
  <c r="G61" i="31" s="1"/>
  <c r="V60" i="31"/>
  <c r="U60" i="31"/>
  <c r="P60" i="31"/>
  <c r="M60" i="31"/>
  <c r="H60" i="31"/>
  <c r="J60" i="31" s="1"/>
  <c r="E60" i="31"/>
  <c r="G60" i="31" s="1"/>
  <c r="Q70" i="31"/>
  <c r="X4" i="1"/>
  <c r="W4" i="1"/>
  <c r="K3" i="31" s="1"/>
  <c r="T4" i="1"/>
  <c r="S4" i="1"/>
  <c r="Q4" i="1"/>
  <c r="P4" i="1"/>
  <c r="D3" i="31" s="1"/>
  <c r="N4" i="1"/>
  <c r="M4" i="1"/>
  <c r="A3" i="31" s="1"/>
  <c r="AD62" i="35" l="1"/>
  <c r="AB17" i="37"/>
  <c r="A18" i="37"/>
  <c r="AA17" i="37"/>
  <c r="F17" i="37"/>
  <c r="G17" i="37" s="1"/>
  <c r="Y68" i="37" s="1"/>
  <c r="D17" i="37"/>
  <c r="E17" i="37" s="1"/>
  <c r="X68" i="37" s="1"/>
  <c r="B17" i="37"/>
  <c r="A16" i="37"/>
  <c r="C17" i="37"/>
  <c r="AD70" i="36"/>
  <c r="R67" i="38"/>
  <c r="S67" i="38"/>
  <c r="D18" i="39"/>
  <c r="E18" i="39" s="1"/>
  <c r="X69" i="39" s="1"/>
  <c r="AD70" i="38"/>
  <c r="AD70" i="34"/>
  <c r="AC62" i="38"/>
  <c r="A16" i="35"/>
  <c r="AA17" i="35"/>
  <c r="A18" i="35"/>
  <c r="C17" i="35"/>
  <c r="B17" i="35"/>
  <c r="F17" i="35"/>
  <c r="G17" i="35" s="1"/>
  <c r="Y68" i="35" s="1"/>
  <c r="D17" i="35"/>
  <c r="E17" i="35" s="1"/>
  <c r="X68" i="35" s="1"/>
  <c r="AB17" i="35"/>
  <c r="R67" i="35"/>
  <c r="S67" i="35"/>
  <c r="AC62" i="36"/>
  <c r="H17" i="39"/>
  <c r="Z68" i="39" s="1"/>
  <c r="C18" i="39"/>
  <c r="I18" i="39" s="1"/>
  <c r="AA69" i="39" s="1"/>
  <c r="D16" i="39"/>
  <c r="E16" i="39" s="1"/>
  <c r="X67" i="39" s="1"/>
  <c r="F18" i="39"/>
  <c r="G18" i="39" s="1"/>
  <c r="Y69" i="39" s="1"/>
  <c r="B16" i="39"/>
  <c r="C16" i="39"/>
  <c r="AA18" i="39"/>
  <c r="AC18" i="39" s="1"/>
  <c r="W66" i="39"/>
  <c r="AA19" i="31"/>
  <c r="AB19" i="31"/>
  <c r="AC62" i="37"/>
  <c r="AC62" i="34"/>
  <c r="AC62" i="35"/>
  <c r="D3" i="36"/>
  <c r="D3" i="37"/>
  <c r="D3" i="38"/>
  <c r="D3" i="33"/>
  <c r="D3" i="34"/>
  <c r="AC62" i="33"/>
  <c r="G3" i="38"/>
  <c r="G3" i="33"/>
  <c r="G3" i="34"/>
  <c r="G3" i="36"/>
  <c r="G3" i="37"/>
  <c r="AC62" i="39"/>
  <c r="K3" i="34"/>
  <c r="K3" i="36"/>
  <c r="K3" i="37"/>
  <c r="K3" i="38"/>
  <c r="K3" i="33"/>
  <c r="G3" i="31"/>
  <c r="AC66" i="38"/>
  <c r="A3" i="33"/>
  <c r="A3" i="34"/>
  <c r="A3" i="36"/>
  <c r="A3" i="37"/>
  <c r="A3" i="38"/>
  <c r="V67" i="39"/>
  <c r="U67" i="39"/>
  <c r="AC67" i="39" s="1"/>
  <c r="W70" i="39"/>
  <c r="R63" i="39"/>
  <c r="S63" i="39"/>
  <c r="AD66" i="39"/>
  <c r="V71" i="39"/>
  <c r="U71" i="39"/>
  <c r="AD21" i="39"/>
  <c r="AC21" i="39"/>
  <c r="R69" i="39"/>
  <c r="S69" i="39"/>
  <c r="R61" i="39"/>
  <c r="S61" i="39"/>
  <c r="V64" i="39"/>
  <c r="U64" i="39"/>
  <c r="T65" i="39"/>
  <c r="T63" i="39"/>
  <c r="F12" i="39"/>
  <c r="G12" i="39" s="1"/>
  <c r="Y63" i="39" s="1"/>
  <c r="AB12" i="39"/>
  <c r="D12" i="39"/>
  <c r="E12" i="39" s="1"/>
  <c r="X63" i="39" s="1"/>
  <c r="AA12" i="39"/>
  <c r="B12" i="39"/>
  <c r="C12" i="39"/>
  <c r="A14" i="39"/>
  <c r="F13" i="39"/>
  <c r="G13" i="39" s="1"/>
  <c r="Y64" i="39" s="1"/>
  <c r="B13" i="39"/>
  <c r="AB13" i="39"/>
  <c r="D13" i="39"/>
  <c r="E13" i="39" s="1"/>
  <c r="X64" i="39" s="1"/>
  <c r="AA13" i="39"/>
  <c r="C13" i="39"/>
  <c r="C10" i="39"/>
  <c r="AA10" i="39"/>
  <c r="AB10" i="39"/>
  <c r="B10" i="39"/>
  <c r="AD18" i="39"/>
  <c r="S71" i="39"/>
  <c r="R71" i="39"/>
  <c r="AC11" i="39"/>
  <c r="AD11" i="39"/>
  <c r="T69" i="39"/>
  <c r="V68" i="39"/>
  <c r="U68" i="39"/>
  <c r="AC68" i="39" s="1"/>
  <c r="AD16" i="39"/>
  <c r="AC16" i="39"/>
  <c r="AD20" i="39"/>
  <c r="AC20" i="39"/>
  <c r="AD70" i="39"/>
  <c r="I11" i="39"/>
  <c r="AA62" i="39" s="1"/>
  <c r="H11" i="39"/>
  <c r="Z62" i="39" s="1"/>
  <c r="Q65" i="39"/>
  <c r="R64" i="39"/>
  <c r="S64" i="39"/>
  <c r="S61" i="38"/>
  <c r="R61" i="38"/>
  <c r="F16" i="38"/>
  <c r="G16" i="38" s="1"/>
  <c r="Y67" i="38" s="1"/>
  <c r="AB16" i="38"/>
  <c r="D16" i="38"/>
  <c r="E16" i="38" s="1"/>
  <c r="X67" i="38" s="1"/>
  <c r="AA16" i="38"/>
  <c r="B16" i="38"/>
  <c r="C16" i="38"/>
  <c r="U68" i="38"/>
  <c r="T69" i="38"/>
  <c r="V68" i="38"/>
  <c r="AA17" i="38"/>
  <c r="D17" i="38"/>
  <c r="E17" i="38" s="1"/>
  <c r="X68" i="38" s="1"/>
  <c r="A18" i="38"/>
  <c r="F17" i="38"/>
  <c r="G17" i="38" s="1"/>
  <c r="Y68" i="38" s="1"/>
  <c r="AB17" i="38"/>
  <c r="C17" i="38"/>
  <c r="B17" i="38"/>
  <c r="W70" i="38"/>
  <c r="AC11" i="38"/>
  <c r="AD11" i="38"/>
  <c r="U71" i="38"/>
  <c r="V71" i="38"/>
  <c r="AA20" i="38"/>
  <c r="AB20" i="38"/>
  <c r="C20" i="38"/>
  <c r="B20" i="38"/>
  <c r="V63" i="38"/>
  <c r="U63" i="38"/>
  <c r="AC21" i="38"/>
  <c r="AD21" i="38"/>
  <c r="R71" i="38"/>
  <c r="S71" i="38"/>
  <c r="I11" i="38"/>
  <c r="AA62" i="38" s="1"/>
  <c r="H11" i="38"/>
  <c r="Z62" i="38" s="1"/>
  <c r="V67" i="38"/>
  <c r="U67" i="38"/>
  <c r="W67" i="38" s="1"/>
  <c r="B13" i="38"/>
  <c r="A14" i="38"/>
  <c r="F13" i="38"/>
  <c r="G13" i="38" s="1"/>
  <c r="Y64" i="38" s="1"/>
  <c r="AA13" i="38"/>
  <c r="AB13" i="38"/>
  <c r="D13" i="38"/>
  <c r="E13" i="38" s="1"/>
  <c r="X64" i="38" s="1"/>
  <c r="C13" i="38"/>
  <c r="AD15" i="38"/>
  <c r="AC15" i="38"/>
  <c r="Q65" i="38"/>
  <c r="R64" i="38"/>
  <c r="S64" i="38"/>
  <c r="Q63" i="38"/>
  <c r="AD66" i="38"/>
  <c r="V65" i="38"/>
  <c r="U65" i="38"/>
  <c r="A12" i="38"/>
  <c r="W66" i="38"/>
  <c r="AB10" i="38"/>
  <c r="AA10" i="38"/>
  <c r="C10" i="38"/>
  <c r="B10" i="38"/>
  <c r="W64" i="33"/>
  <c r="W63" i="33"/>
  <c r="W64" i="36"/>
  <c r="W63" i="36"/>
  <c r="W64" i="37"/>
  <c r="W63" i="35"/>
  <c r="W66" i="34"/>
  <c r="W64" i="34"/>
  <c r="F12" i="37"/>
  <c r="G12" i="37" s="1"/>
  <c r="Y63" i="37" s="1"/>
  <c r="AB12" i="37"/>
  <c r="D12" i="37"/>
  <c r="E12" i="37" s="1"/>
  <c r="X63" i="37" s="1"/>
  <c r="AA12" i="37"/>
  <c r="B12" i="37"/>
  <c r="C12" i="37"/>
  <c r="T69" i="37"/>
  <c r="V68" i="37"/>
  <c r="U68" i="37"/>
  <c r="AC68" i="37" s="1"/>
  <c r="T67" i="37"/>
  <c r="W70" i="37"/>
  <c r="AC11" i="37"/>
  <c r="AD11" i="37"/>
  <c r="V71" i="37"/>
  <c r="U71" i="37"/>
  <c r="S67" i="37"/>
  <c r="R67" i="37"/>
  <c r="Q65" i="37"/>
  <c r="S64" i="37"/>
  <c r="R64" i="37"/>
  <c r="AD21" i="37"/>
  <c r="AC21" i="37"/>
  <c r="Q63" i="37"/>
  <c r="V65" i="37"/>
  <c r="U65" i="37"/>
  <c r="AD20" i="37"/>
  <c r="AC20" i="37"/>
  <c r="AA10" i="37"/>
  <c r="AB10" i="37"/>
  <c r="B10" i="37"/>
  <c r="C10" i="37"/>
  <c r="V63" i="37"/>
  <c r="U63" i="37"/>
  <c r="R61" i="37"/>
  <c r="S61" i="37"/>
  <c r="B13" i="37"/>
  <c r="A14" i="37"/>
  <c r="D13" i="37"/>
  <c r="E13" i="37" s="1"/>
  <c r="X64" i="37" s="1"/>
  <c r="F13" i="37"/>
  <c r="G13" i="37" s="1"/>
  <c r="Y64" i="37" s="1"/>
  <c r="AB13" i="37"/>
  <c r="AA13" i="37"/>
  <c r="C13" i="37"/>
  <c r="AA20" i="36"/>
  <c r="AB20" i="36"/>
  <c r="C20" i="36"/>
  <c r="B20" i="36"/>
  <c r="T69" i="36"/>
  <c r="V68" i="36"/>
  <c r="U68" i="36"/>
  <c r="AC68" i="36" s="1"/>
  <c r="D18" i="36"/>
  <c r="E18" i="36" s="1"/>
  <c r="X69" i="36" s="1"/>
  <c r="AB18" i="36"/>
  <c r="AA18" i="36"/>
  <c r="F18" i="36"/>
  <c r="G18" i="36" s="1"/>
  <c r="Y69" i="36" s="1"/>
  <c r="C18" i="36"/>
  <c r="B18" i="36"/>
  <c r="V65" i="36"/>
  <c r="U65" i="36"/>
  <c r="W70" i="36"/>
  <c r="V71" i="36"/>
  <c r="U71" i="36"/>
  <c r="AD17" i="36"/>
  <c r="AC17" i="36"/>
  <c r="F16" i="36"/>
  <c r="G16" i="36" s="1"/>
  <c r="Y67" i="36" s="1"/>
  <c r="AB16" i="36"/>
  <c r="D16" i="36"/>
  <c r="E16" i="36" s="1"/>
  <c r="X67" i="36" s="1"/>
  <c r="AA16" i="36"/>
  <c r="C16" i="36"/>
  <c r="B16" i="36"/>
  <c r="Q65" i="36"/>
  <c r="S64" i="36"/>
  <c r="R64" i="36"/>
  <c r="R67" i="36"/>
  <c r="S67" i="36"/>
  <c r="A14" i="36"/>
  <c r="F13" i="36"/>
  <c r="G13" i="36" s="1"/>
  <c r="Y64" i="36" s="1"/>
  <c r="AB13" i="36"/>
  <c r="D13" i="36"/>
  <c r="E13" i="36" s="1"/>
  <c r="X64" i="36" s="1"/>
  <c r="B13" i="36"/>
  <c r="AA13" i="36"/>
  <c r="C13" i="36"/>
  <c r="I17" i="36"/>
  <c r="AA68" i="36" s="1"/>
  <c r="H17" i="36"/>
  <c r="Z68" i="36" s="1"/>
  <c r="Q63" i="36"/>
  <c r="V67" i="36"/>
  <c r="U67" i="36"/>
  <c r="A12" i="36"/>
  <c r="S61" i="36"/>
  <c r="R61" i="36"/>
  <c r="AD66" i="36"/>
  <c r="AA10" i="36"/>
  <c r="AB10" i="36"/>
  <c r="B10" i="36"/>
  <c r="C10" i="36"/>
  <c r="W66" i="36"/>
  <c r="AD21" i="36"/>
  <c r="AC21" i="36"/>
  <c r="AC11" i="36"/>
  <c r="AD11" i="36"/>
  <c r="S63" i="35"/>
  <c r="R63" i="35"/>
  <c r="F12" i="35"/>
  <c r="G12" i="35" s="1"/>
  <c r="Y63" i="35" s="1"/>
  <c r="AB12" i="35"/>
  <c r="D12" i="35"/>
  <c r="E12" i="35" s="1"/>
  <c r="X63" i="35" s="1"/>
  <c r="AA12" i="35"/>
  <c r="C12" i="35"/>
  <c r="B12" i="35"/>
  <c r="AD21" i="35"/>
  <c r="AC21" i="35"/>
  <c r="AC11" i="35"/>
  <c r="AD11" i="35"/>
  <c r="T69" i="35"/>
  <c r="V68" i="35"/>
  <c r="U68" i="35"/>
  <c r="V65" i="35"/>
  <c r="U65" i="35"/>
  <c r="AD20" i="35"/>
  <c r="AC20" i="35"/>
  <c r="AA10" i="35"/>
  <c r="AB10" i="35"/>
  <c r="C10" i="35"/>
  <c r="B10" i="35"/>
  <c r="R61" i="35"/>
  <c r="S61" i="35"/>
  <c r="V67" i="35"/>
  <c r="U67" i="35"/>
  <c r="AD70" i="35"/>
  <c r="AD66" i="35"/>
  <c r="W70" i="35"/>
  <c r="W64" i="35"/>
  <c r="W66" i="35"/>
  <c r="V71" i="35"/>
  <c r="U71" i="35"/>
  <c r="B13" i="35"/>
  <c r="A14" i="35"/>
  <c r="F13" i="35"/>
  <c r="G13" i="35" s="1"/>
  <c r="Y64" i="35" s="1"/>
  <c r="AB13" i="35"/>
  <c r="D13" i="35"/>
  <c r="E13" i="35" s="1"/>
  <c r="X64" i="35" s="1"/>
  <c r="AA13" i="35"/>
  <c r="C13" i="35"/>
  <c r="Q65" i="35"/>
  <c r="R64" i="35"/>
  <c r="S64" i="35"/>
  <c r="F16" i="34"/>
  <c r="G16" i="34" s="1"/>
  <c r="Y67" i="34" s="1"/>
  <c r="AB16" i="34"/>
  <c r="D16" i="34"/>
  <c r="E16" i="34" s="1"/>
  <c r="X67" i="34" s="1"/>
  <c r="AA16" i="34"/>
  <c r="B16" i="34"/>
  <c r="C16" i="34"/>
  <c r="I11" i="34"/>
  <c r="AA62" i="34" s="1"/>
  <c r="AD62" i="34" s="1"/>
  <c r="H11" i="34"/>
  <c r="Z62" i="34" s="1"/>
  <c r="I15" i="34"/>
  <c r="AA66" i="34" s="1"/>
  <c r="H15" i="34"/>
  <c r="Z66" i="34" s="1"/>
  <c r="AD66" i="34" s="1"/>
  <c r="Q65" i="34"/>
  <c r="R64" i="34"/>
  <c r="S64" i="34"/>
  <c r="W70" i="34"/>
  <c r="R63" i="34"/>
  <c r="S63" i="34"/>
  <c r="V71" i="34"/>
  <c r="U71" i="34"/>
  <c r="AC11" i="34"/>
  <c r="AD11" i="34"/>
  <c r="AD15" i="34"/>
  <c r="AC15" i="34"/>
  <c r="V63" i="34"/>
  <c r="U63" i="34"/>
  <c r="S61" i="34"/>
  <c r="R61" i="34"/>
  <c r="T69" i="34"/>
  <c r="V68" i="34"/>
  <c r="U68" i="34"/>
  <c r="AA17" i="34"/>
  <c r="AB17" i="34"/>
  <c r="A18" i="34"/>
  <c r="F17" i="34"/>
  <c r="G17" i="34" s="1"/>
  <c r="Y68" i="34" s="1"/>
  <c r="D17" i="34"/>
  <c r="E17" i="34" s="1"/>
  <c r="X68" i="34" s="1"/>
  <c r="C17" i="34"/>
  <c r="B17" i="34"/>
  <c r="F12" i="34"/>
  <c r="G12" i="34" s="1"/>
  <c r="Y63" i="34" s="1"/>
  <c r="AB12" i="34"/>
  <c r="D12" i="34"/>
  <c r="E12" i="34" s="1"/>
  <c r="X63" i="34" s="1"/>
  <c r="AA12" i="34"/>
  <c r="C12" i="34"/>
  <c r="B12" i="34"/>
  <c r="A14" i="34"/>
  <c r="F13" i="34"/>
  <c r="G13" i="34" s="1"/>
  <c r="Y64" i="34" s="1"/>
  <c r="AB13" i="34"/>
  <c r="D13" i="34"/>
  <c r="E13" i="34" s="1"/>
  <c r="X64" i="34" s="1"/>
  <c r="AA13" i="34"/>
  <c r="B13" i="34"/>
  <c r="C13" i="34"/>
  <c r="AC66" i="34"/>
  <c r="AD21" i="34"/>
  <c r="AC21" i="34"/>
  <c r="V65" i="34"/>
  <c r="U65" i="34"/>
  <c r="V67" i="34"/>
  <c r="U67" i="34"/>
  <c r="AD20" i="34"/>
  <c r="AC20" i="34"/>
  <c r="C10" i="34"/>
  <c r="AB10" i="34"/>
  <c r="AA10" i="34"/>
  <c r="B10" i="34"/>
  <c r="S69" i="34"/>
  <c r="R69" i="34"/>
  <c r="AD16" i="33"/>
  <c r="AC16" i="33"/>
  <c r="V71" i="33"/>
  <c r="U71" i="33"/>
  <c r="A14" i="33"/>
  <c r="B13" i="33"/>
  <c r="F13" i="33"/>
  <c r="G13" i="33" s="1"/>
  <c r="Y64" i="33" s="1"/>
  <c r="D13" i="33"/>
  <c r="E13" i="33" s="1"/>
  <c r="X64" i="33" s="1"/>
  <c r="AB13" i="33"/>
  <c r="AA13" i="33"/>
  <c r="C13" i="33"/>
  <c r="AD21" i="33"/>
  <c r="AC21" i="33"/>
  <c r="W66" i="33"/>
  <c r="AD66" i="33"/>
  <c r="F12" i="33"/>
  <c r="G12" i="33" s="1"/>
  <c r="Y63" i="33" s="1"/>
  <c r="AB12" i="33"/>
  <c r="D12" i="33"/>
  <c r="E12" i="33" s="1"/>
  <c r="X63" i="33" s="1"/>
  <c r="AA12" i="33"/>
  <c r="C12" i="33"/>
  <c r="B12" i="33"/>
  <c r="AD18" i="33"/>
  <c r="AC18" i="33"/>
  <c r="R67" i="33"/>
  <c r="S67" i="33"/>
  <c r="B20" i="33"/>
  <c r="AA20" i="33"/>
  <c r="AB20" i="33"/>
  <c r="C20" i="33"/>
  <c r="AA10" i="33"/>
  <c r="AB10" i="33"/>
  <c r="B10" i="33"/>
  <c r="C10" i="33"/>
  <c r="R63" i="33"/>
  <c r="S63" i="33"/>
  <c r="Q65" i="33"/>
  <c r="S64" i="33"/>
  <c r="R64" i="33"/>
  <c r="AC11" i="33"/>
  <c r="AD11" i="33"/>
  <c r="T69" i="33"/>
  <c r="V68" i="33"/>
  <c r="AD68" i="33" s="1"/>
  <c r="U68" i="33"/>
  <c r="AC68" i="33" s="1"/>
  <c r="V65" i="33"/>
  <c r="U65" i="33"/>
  <c r="AD70" i="33"/>
  <c r="R61" i="33"/>
  <c r="S61" i="33"/>
  <c r="T67" i="33"/>
  <c r="W70" i="33"/>
  <c r="T62" i="31"/>
  <c r="U62" i="31" s="1"/>
  <c r="V66" i="31"/>
  <c r="U66" i="31"/>
  <c r="Q61" i="31"/>
  <c r="R61" i="31" s="1"/>
  <c r="V72" i="31"/>
  <c r="U72" i="31"/>
  <c r="R70" i="31"/>
  <c r="J16" i="31"/>
  <c r="B19" i="31"/>
  <c r="Q66" i="31"/>
  <c r="S66" i="31" s="1"/>
  <c r="S70" i="31"/>
  <c r="A15" i="31"/>
  <c r="C19" i="31"/>
  <c r="T70" i="31"/>
  <c r="T68" i="31" s="1"/>
  <c r="Q72" i="31"/>
  <c r="Q71" i="31" s="1"/>
  <c r="J15" i="31"/>
  <c r="D19" i="31"/>
  <c r="E19" i="31" s="1"/>
  <c r="X70" i="31" s="1"/>
  <c r="A11" i="31"/>
  <c r="A21" i="31"/>
  <c r="F19" i="31"/>
  <c r="G19" i="31" s="1"/>
  <c r="Y70" i="31" s="1"/>
  <c r="C9" i="31"/>
  <c r="S60" i="31" s="1"/>
  <c r="C21" i="31"/>
  <c r="R62" i="31"/>
  <c r="S62" i="31"/>
  <c r="U4" i="1"/>
  <c r="AC68" i="35" l="1"/>
  <c r="AC63" i="35"/>
  <c r="AA16" i="37"/>
  <c r="C16" i="37"/>
  <c r="F16" i="37"/>
  <c r="G16" i="37" s="1"/>
  <c r="Y67" i="37" s="1"/>
  <c r="D16" i="37"/>
  <c r="E16" i="37" s="1"/>
  <c r="X67" i="37" s="1"/>
  <c r="AB16" i="37"/>
  <c r="B16" i="37"/>
  <c r="I17" i="35"/>
  <c r="AA68" i="35" s="1"/>
  <c r="H17" i="35"/>
  <c r="Z68" i="35" s="1"/>
  <c r="AD17" i="37"/>
  <c r="AC17" i="37"/>
  <c r="C16" i="35"/>
  <c r="B16" i="35"/>
  <c r="F16" i="35"/>
  <c r="G16" i="35" s="1"/>
  <c r="Y67" i="35" s="1"/>
  <c r="AB16" i="35"/>
  <c r="D16" i="35"/>
  <c r="E16" i="35" s="1"/>
  <c r="X67" i="35" s="1"/>
  <c r="AA16" i="35"/>
  <c r="T61" i="31"/>
  <c r="AD68" i="36"/>
  <c r="AD62" i="38"/>
  <c r="C18" i="35"/>
  <c r="B18" i="35"/>
  <c r="D18" i="35"/>
  <c r="E18" i="35" s="1"/>
  <c r="X69" i="35" s="1"/>
  <c r="AB18" i="35"/>
  <c r="F18" i="35"/>
  <c r="G18" i="35" s="1"/>
  <c r="Y69" i="35" s="1"/>
  <c r="AA18" i="35"/>
  <c r="C18" i="37"/>
  <c r="B18" i="37"/>
  <c r="AB18" i="37"/>
  <c r="AA18" i="37"/>
  <c r="F18" i="37"/>
  <c r="G18" i="37" s="1"/>
  <c r="Y69" i="37" s="1"/>
  <c r="D18" i="37"/>
  <c r="E18" i="37" s="1"/>
  <c r="X69" i="37" s="1"/>
  <c r="I17" i="37"/>
  <c r="AA68" i="37" s="1"/>
  <c r="AD68" i="37" s="1"/>
  <c r="H17" i="37"/>
  <c r="Z68" i="37" s="1"/>
  <c r="V62" i="31"/>
  <c r="W68" i="38"/>
  <c r="AD17" i="35"/>
  <c r="AC17" i="35"/>
  <c r="AD68" i="39"/>
  <c r="H18" i="39"/>
  <c r="Z69" i="39" s="1"/>
  <c r="H16" i="39"/>
  <c r="Z67" i="39" s="1"/>
  <c r="I16" i="39"/>
  <c r="AA67" i="39" s="1"/>
  <c r="R72" i="31"/>
  <c r="S72" i="31"/>
  <c r="AB21" i="31"/>
  <c r="AA21" i="31"/>
  <c r="C11" i="31"/>
  <c r="AB11" i="31"/>
  <c r="AA11" i="31"/>
  <c r="C15" i="31"/>
  <c r="AB15" i="31"/>
  <c r="AA15" i="31"/>
  <c r="AD19" i="31"/>
  <c r="AC19" i="31"/>
  <c r="AC64" i="38"/>
  <c r="AC63" i="33"/>
  <c r="AC64" i="37"/>
  <c r="AC64" i="35"/>
  <c r="AC64" i="34"/>
  <c r="AC64" i="33"/>
  <c r="AC67" i="34"/>
  <c r="AC63" i="34"/>
  <c r="AC68" i="34"/>
  <c r="AC63" i="37"/>
  <c r="AB66" i="35"/>
  <c r="I3" i="33"/>
  <c r="AB66" i="33" s="1"/>
  <c r="AE66" i="33" s="1"/>
  <c r="AB66" i="39"/>
  <c r="AE66" i="39" s="1"/>
  <c r="I3" i="34"/>
  <c r="AB66" i="34" s="1"/>
  <c r="AE66" i="34" s="1"/>
  <c r="I3" i="36"/>
  <c r="AB66" i="36" s="1"/>
  <c r="AE66" i="36" s="1"/>
  <c r="I3" i="37"/>
  <c r="AB66" i="37" s="1"/>
  <c r="AE66" i="37" s="1"/>
  <c r="I3" i="38"/>
  <c r="AB66" i="38" s="1"/>
  <c r="AE66" i="38" s="1"/>
  <c r="I3" i="31"/>
  <c r="AB66" i="31" s="1"/>
  <c r="AE66" i="35"/>
  <c r="AC64" i="39"/>
  <c r="AC64" i="36"/>
  <c r="AC67" i="38"/>
  <c r="AD13" i="39"/>
  <c r="AC13" i="39"/>
  <c r="AD12" i="39"/>
  <c r="AC12" i="39"/>
  <c r="W64" i="39"/>
  <c r="AD62" i="39"/>
  <c r="W68" i="39"/>
  <c r="V69" i="39"/>
  <c r="U69" i="39"/>
  <c r="AC69" i="39" s="1"/>
  <c r="AD10" i="39"/>
  <c r="AC10" i="39"/>
  <c r="V63" i="39"/>
  <c r="U63" i="39"/>
  <c r="AC63" i="39" s="1"/>
  <c r="AB14" i="39"/>
  <c r="D14" i="39"/>
  <c r="E14" i="39" s="1"/>
  <c r="X65" i="39" s="1"/>
  <c r="AA14" i="39"/>
  <c r="F14" i="39"/>
  <c r="G14" i="39" s="1"/>
  <c r="Y65" i="39" s="1"/>
  <c r="B14" i="39"/>
  <c r="C14" i="39"/>
  <c r="V65" i="39"/>
  <c r="U65" i="39"/>
  <c r="H12" i="39"/>
  <c r="Z63" i="39" s="1"/>
  <c r="I12" i="39"/>
  <c r="AA63" i="39" s="1"/>
  <c r="S65" i="39"/>
  <c r="R65" i="39"/>
  <c r="I13" i="39"/>
  <c r="AA64" i="39" s="1"/>
  <c r="H13" i="39"/>
  <c r="Z64" i="39" s="1"/>
  <c r="W67" i="39"/>
  <c r="AD10" i="38"/>
  <c r="AC10" i="38"/>
  <c r="S63" i="38"/>
  <c r="R63" i="38"/>
  <c r="AC17" i="38"/>
  <c r="AD17" i="38"/>
  <c r="AD16" i="38"/>
  <c r="AC16" i="38"/>
  <c r="AD13" i="38"/>
  <c r="AC13" i="38"/>
  <c r="F12" i="38"/>
  <c r="G12" i="38" s="1"/>
  <c r="Y63" i="38" s="1"/>
  <c r="AB12" i="38"/>
  <c r="D12" i="38"/>
  <c r="E12" i="38" s="1"/>
  <c r="X63" i="38" s="1"/>
  <c r="AA12" i="38"/>
  <c r="B12" i="38"/>
  <c r="C12" i="38"/>
  <c r="R65" i="38"/>
  <c r="S65" i="38"/>
  <c r="AB14" i="38"/>
  <c r="D14" i="38"/>
  <c r="E14" i="38" s="1"/>
  <c r="X65" i="38" s="1"/>
  <c r="AA14" i="38"/>
  <c r="F14" i="38"/>
  <c r="G14" i="38" s="1"/>
  <c r="Y65" i="38" s="1"/>
  <c r="C14" i="38"/>
  <c r="B14" i="38"/>
  <c r="I17" i="38"/>
  <c r="AA68" i="38" s="1"/>
  <c r="H17" i="38"/>
  <c r="Z68" i="38" s="1"/>
  <c r="AD68" i="38" s="1"/>
  <c r="AD20" i="38"/>
  <c r="AC20" i="38"/>
  <c r="V69" i="38"/>
  <c r="U69" i="38"/>
  <c r="AC68" i="38"/>
  <c r="W65" i="38"/>
  <c r="I13" i="38"/>
  <c r="AA64" i="38" s="1"/>
  <c r="H13" i="38"/>
  <c r="Z64" i="38" s="1"/>
  <c r="W63" i="38"/>
  <c r="D18" i="38"/>
  <c r="E18" i="38" s="1"/>
  <c r="X69" i="38" s="1"/>
  <c r="AB18" i="38"/>
  <c r="AA18" i="38"/>
  <c r="F18" i="38"/>
  <c r="G18" i="38" s="1"/>
  <c r="Y69" i="38" s="1"/>
  <c r="C18" i="38"/>
  <c r="B18" i="38"/>
  <c r="H16" i="38"/>
  <c r="Z67" i="38" s="1"/>
  <c r="AD67" i="38" s="1"/>
  <c r="I16" i="38"/>
  <c r="AA67" i="38" s="1"/>
  <c r="W67" i="36"/>
  <c r="W68" i="37"/>
  <c r="W63" i="37"/>
  <c r="W65" i="35"/>
  <c r="W65" i="34"/>
  <c r="AB14" i="37"/>
  <c r="AA14" i="37"/>
  <c r="F14" i="37"/>
  <c r="G14" i="37" s="1"/>
  <c r="Y65" i="37" s="1"/>
  <c r="D14" i="37"/>
  <c r="E14" i="37" s="1"/>
  <c r="X65" i="37" s="1"/>
  <c r="B14" i="37"/>
  <c r="C14" i="37"/>
  <c r="V69" i="37"/>
  <c r="U69" i="37"/>
  <c r="AC69" i="37" s="1"/>
  <c r="W65" i="37"/>
  <c r="R65" i="37"/>
  <c r="S65" i="37"/>
  <c r="I12" i="37"/>
  <c r="AA63" i="37" s="1"/>
  <c r="H12" i="37"/>
  <c r="Z63" i="37" s="1"/>
  <c r="AD63" i="37" s="1"/>
  <c r="I13" i="37"/>
  <c r="AA64" i="37" s="1"/>
  <c r="H13" i="37"/>
  <c r="Z64" i="37" s="1"/>
  <c r="AD10" i="37"/>
  <c r="AC10" i="37"/>
  <c r="S63" i="37"/>
  <c r="R63" i="37"/>
  <c r="AD13" i="37"/>
  <c r="AC13" i="37"/>
  <c r="AD12" i="37"/>
  <c r="AC12" i="37"/>
  <c r="V67" i="37"/>
  <c r="U67" i="37"/>
  <c r="AC67" i="37" s="1"/>
  <c r="W68" i="36"/>
  <c r="AD10" i="36"/>
  <c r="AC10" i="36"/>
  <c r="I18" i="36"/>
  <c r="AA69" i="36" s="1"/>
  <c r="H18" i="36"/>
  <c r="Z69" i="36" s="1"/>
  <c r="V69" i="36"/>
  <c r="U69" i="36"/>
  <c r="AC69" i="36" s="1"/>
  <c r="R65" i="36"/>
  <c r="S65" i="36"/>
  <c r="R63" i="36"/>
  <c r="S63" i="36"/>
  <c r="H16" i="36"/>
  <c r="Z67" i="36" s="1"/>
  <c r="I16" i="36"/>
  <c r="AA67" i="36" s="1"/>
  <c r="AD13" i="36"/>
  <c r="AC13" i="36"/>
  <c r="AC67" i="36"/>
  <c r="W65" i="36"/>
  <c r="F12" i="36"/>
  <c r="G12" i="36" s="1"/>
  <c r="Y63" i="36" s="1"/>
  <c r="AB12" i="36"/>
  <c r="D12" i="36"/>
  <c r="E12" i="36" s="1"/>
  <c r="X63" i="36" s="1"/>
  <c r="AA12" i="36"/>
  <c r="C12" i="36"/>
  <c r="B12" i="36"/>
  <c r="AB14" i="36"/>
  <c r="AA14" i="36"/>
  <c r="F14" i="36"/>
  <c r="G14" i="36" s="1"/>
  <c r="Y65" i="36" s="1"/>
  <c r="D14" i="36"/>
  <c r="E14" i="36" s="1"/>
  <c r="X65" i="36" s="1"/>
  <c r="B14" i="36"/>
  <c r="C14" i="36"/>
  <c r="AD16" i="36"/>
  <c r="AC16" i="36"/>
  <c r="AD18" i="36"/>
  <c r="AC18" i="36"/>
  <c r="I13" i="36"/>
  <c r="AA64" i="36" s="1"/>
  <c r="AD64" i="36" s="1"/>
  <c r="H13" i="36"/>
  <c r="Z64" i="36" s="1"/>
  <c r="AD20" i="36"/>
  <c r="AC20" i="36"/>
  <c r="H12" i="35"/>
  <c r="Z63" i="35" s="1"/>
  <c r="I12" i="35"/>
  <c r="AA63" i="35" s="1"/>
  <c r="AB14" i="35"/>
  <c r="AA14" i="35"/>
  <c r="F14" i="35"/>
  <c r="G14" i="35" s="1"/>
  <c r="Y65" i="35" s="1"/>
  <c r="D14" i="35"/>
  <c r="E14" i="35" s="1"/>
  <c r="X65" i="35" s="1"/>
  <c r="B14" i="35"/>
  <c r="C14" i="35"/>
  <c r="W68" i="35"/>
  <c r="AD12" i="35"/>
  <c r="AC12" i="35"/>
  <c r="W67" i="35"/>
  <c r="V69" i="35"/>
  <c r="U69" i="35"/>
  <c r="S65" i="35"/>
  <c r="R65" i="35"/>
  <c r="I13" i="35"/>
  <c r="AA64" i="35" s="1"/>
  <c r="H13" i="35"/>
  <c r="Z64" i="35" s="1"/>
  <c r="AD10" i="35"/>
  <c r="AC10" i="35"/>
  <c r="AD13" i="35"/>
  <c r="AC13" i="35"/>
  <c r="AD17" i="34"/>
  <c r="AC17" i="34"/>
  <c r="W63" i="34"/>
  <c r="AB14" i="34"/>
  <c r="AA14" i="34"/>
  <c r="D14" i="34"/>
  <c r="E14" i="34" s="1"/>
  <c r="X65" i="34" s="1"/>
  <c r="F14" i="34"/>
  <c r="G14" i="34" s="1"/>
  <c r="Y65" i="34" s="1"/>
  <c r="B14" i="34"/>
  <c r="C14" i="34"/>
  <c r="H16" i="34"/>
  <c r="Z67" i="34" s="1"/>
  <c r="I16" i="34"/>
  <c r="AA67" i="34" s="1"/>
  <c r="H17" i="34"/>
  <c r="Z68" i="34" s="1"/>
  <c r="I17" i="34"/>
  <c r="AA68" i="34" s="1"/>
  <c r="AD68" i="34" s="1"/>
  <c r="W68" i="34"/>
  <c r="AD67" i="34"/>
  <c r="I13" i="34"/>
  <c r="AA64" i="34" s="1"/>
  <c r="H13" i="34"/>
  <c r="Z64" i="34" s="1"/>
  <c r="H12" i="34"/>
  <c r="Z63" i="34" s="1"/>
  <c r="I12" i="34"/>
  <c r="AA63" i="34" s="1"/>
  <c r="AD63" i="34" s="1"/>
  <c r="V69" i="34"/>
  <c r="U69" i="34"/>
  <c r="AD16" i="34"/>
  <c r="AC16" i="34"/>
  <c r="W67" i="34"/>
  <c r="AC12" i="34"/>
  <c r="AD12" i="34"/>
  <c r="S65" i="34"/>
  <c r="R65" i="34"/>
  <c r="AD10" i="34"/>
  <c r="AC10" i="34"/>
  <c r="AD13" i="34"/>
  <c r="AC13" i="34"/>
  <c r="AB18" i="34"/>
  <c r="AA18" i="34"/>
  <c r="F18" i="34"/>
  <c r="G18" i="34" s="1"/>
  <c r="Y69" i="34" s="1"/>
  <c r="D18" i="34"/>
  <c r="E18" i="34" s="1"/>
  <c r="X69" i="34" s="1"/>
  <c r="C18" i="34"/>
  <c r="B18" i="34"/>
  <c r="V67" i="33"/>
  <c r="AD67" i="33" s="1"/>
  <c r="U67" i="33"/>
  <c r="AC67" i="33" s="1"/>
  <c r="S65" i="33"/>
  <c r="R65" i="33"/>
  <c r="W68" i="33"/>
  <c r="H12" i="33"/>
  <c r="Z63" i="33" s="1"/>
  <c r="I12" i="33"/>
  <c r="AA63" i="33" s="1"/>
  <c r="AD63" i="33" s="1"/>
  <c r="AB14" i="33"/>
  <c r="AA14" i="33"/>
  <c r="B14" i="33"/>
  <c r="F14" i="33"/>
  <c r="G14" i="33" s="1"/>
  <c r="Y65" i="33" s="1"/>
  <c r="AC65" i="33" s="1"/>
  <c r="D14" i="33"/>
  <c r="E14" i="33" s="1"/>
  <c r="X65" i="33" s="1"/>
  <c r="C14" i="33"/>
  <c r="V69" i="33"/>
  <c r="AD69" i="33" s="1"/>
  <c r="U69" i="33"/>
  <c r="AC69" i="33" s="1"/>
  <c r="AD20" i="33"/>
  <c r="AC20" i="33"/>
  <c r="AD12" i="33"/>
  <c r="AC12" i="33"/>
  <c r="I13" i="33"/>
  <c r="AA64" i="33" s="1"/>
  <c r="H13" i="33"/>
  <c r="Z64" i="33" s="1"/>
  <c r="W65" i="33"/>
  <c r="AD10" i="33"/>
  <c r="AC10" i="33"/>
  <c r="AD13" i="33"/>
  <c r="AC13" i="33"/>
  <c r="T64" i="31"/>
  <c r="T65" i="31" s="1"/>
  <c r="R71" i="31"/>
  <c r="S71" i="31"/>
  <c r="I15" i="31"/>
  <c r="AA66" i="31" s="1"/>
  <c r="H15" i="31"/>
  <c r="Z66" i="31" s="1"/>
  <c r="W62" i="31"/>
  <c r="V61" i="31"/>
  <c r="U61" i="31"/>
  <c r="T69" i="31"/>
  <c r="V68" i="31"/>
  <c r="U68" i="31"/>
  <c r="H19" i="31"/>
  <c r="Z70" i="31" s="1"/>
  <c r="I19" i="31"/>
  <c r="AA70" i="31" s="1"/>
  <c r="Q68" i="31"/>
  <c r="Q67" i="31" s="1"/>
  <c r="T67" i="31"/>
  <c r="I11" i="31"/>
  <c r="AA62" i="31" s="1"/>
  <c r="H11" i="31"/>
  <c r="Z62" i="31" s="1"/>
  <c r="A13" i="31"/>
  <c r="D11" i="31"/>
  <c r="E11" i="31" s="1"/>
  <c r="X62" i="31" s="1"/>
  <c r="J10" i="31"/>
  <c r="J9" i="31"/>
  <c r="B11" i="31"/>
  <c r="A10" i="31"/>
  <c r="F11" i="31"/>
  <c r="G11" i="31" s="1"/>
  <c r="Y62" i="31" s="1"/>
  <c r="B21" i="31"/>
  <c r="T71" i="31"/>
  <c r="V70" i="31"/>
  <c r="U70" i="31"/>
  <c r="AC70" i="31" s="1"/>
  <c r="Q64" i="31"/>
  <c r="R66" i="31"/>
  <c r="F15" i="31"/>
  <c r="G15" i="31" s="1"/>
  <c r="Y66" i="31" s="1"/>
  <c r="A17" i="31"/>
  <c r="A16" i="31" s="1"/>
  <c r="D15" i="31"/>
  <c r="E15" i="31" s="1"/>
  <c r="X66" i="31" s="1"/>
  <c r="B15" i="31"/>
  <c r="J12" i="31"/>
  <c r="J13" i="31"/>
  <c r="S61" i="31"/>
  <c r="A20" i="31"/>
  <c r="W66" i="31"/>
  <c r="AD68" i="35" l="1"/>
  <c r="AC69" i="35"/>
  <c r="AC67" i="35"/>
  <c r="H18" i="37"/>
  <c r="Z69" i="37" s="1"/>
  <c r="I18" i="37"/>
  <c r="AA69" i="37" s="1"/>
  <c r="H16" i="35"/>
  <c r="Z67" i="35" s="1"/>
  <c r="I16" i="35"/>
  <c r="AA67" i="35" s="1"/>
  <c r="AC18" i="35"/>
  <c r="AD18" i="35"/>
  <c r="AD67" i="37"/>
  <c r="AD16" i="35"/>
  <c r="AC16" i="35"/>
  <c r="H16" i="37"/>
  <c r="Z67" i="37" s="1"/>
  <c r="I16" i="37"/>
  <c r="AA67" i="37" s="1"/>
  <c r="AD69" i="37"/>
  <c r="AC16" i="37"/>
  <c r="AD16" i="37"/>
  <c r="I18" i="35"/>
  <c r="AA69" i="35" s="1"/>
  <c r="H18" i="35"/>
  <c r="Z69" i="35" s="1"/>
  <c r="AD64" i="33"/>
  <c r="AD67" i="36"/>
  <c r="W69" i="38"/>
  <c r="AD18" i="37"/>
  <c r="AC18" i="37"/>
  <c r="AD64" i="39"/>
  <c r="AD69" i="39"/>
  <c r="AD67" i="39"/>
  <c r="W63" i="39"/>
  <c r="AD11" i="31"/>
  <c r="AC11" i="31"/>
  <c r="AB13" i="31"/>
  <c r="AA13" i="31"/>
  <c r="AB17" i="31"/>
  <c r="AA17" i="31"/>
  <c r="AA20" i="31"/>
  <c r="AB20" i="31"/>
  <c r="A12" i="31"/>
  <c r="AD21" i="31"/>
  <c r="AC21" i="31"/>
  <c r="AA10" i="31"/>
  <c r="AB10" i="31"/>
  <c r="AB16" i="31"/>
  <c r="AA16" i="31"/>
  <c r="AD15" i="31"/>
  <c r="AC15" i="31"/>
  <c r="AC63" i="38"/>
  <c r="AC65" i="36"/>
  <c r="AC65" i="37"/>
  <c r="AE66" i="31"/>
  <c r="AC65" i="35"/>
  <c r="AC63" i="36"/>
  <c r="AC65" i="38"/>
  <c r="AC65" i="34"/>
  <c r="AC65" i="39"/>
  <c r="W65" i="39"/>
  <c r="I14" i="39"/>
  <c r="AA65" i="39" s="1"/>
  <c r="H14" i="39"/>
  <c r="Z65" i="39" s="1"/>
  <c r="AD63" i="39"/>
  <c r="AC14" i="39"/>
  <c r="AD14" i="39"/>
  <c r="W69" i="39"/>
  <c r="I18" i="38"/>
  <c r="AA69" i="38" s="1"/>
  <c r="H18" i="38"/>
  <c r="Z69" i="38" s="1"/>
  <c r="AD64" i="38"/>
  <c r="AD14" i="38"/>
  <c r="AC14" i="38"/>
  <c r="AD12" i="38"/>
  <c r="AC12" i="38"/>
  <c r="AD18" i="38"/>
  <c r="AC18" i="38"/>
  <c r="AC69" i="38"/>
  <c r="I12" i="38"/>
  <c r="AA63" i="38" s="1"/>
  <c r="H12" i="38"/>
  <c r="Z63" i="38" s="1"/>
  <c r="I14" i="38"/>
  <c r="AA65" i="38" s="1"/>
  <c r="AD65" i="38" s="1"/>
  <c r="H14" i="38"/>
  <c r="Z65" i="38" s="1"/>
  <c r="W67" i="33"/>
  <c r="W69" i="36"/>
  <c r="W69" i="35"/>
  <c r="W69" i="34"/>
  <c r="I14" i="37"/>
  <c r="AA65" i="37" s="1"/>
  <c r="H14" i="37"/>
  <c r="Z65" i="37" s="1"/>
  <c r="W67" i="37"/>
  <c r="W69" i="37"/>
  <c r="AC14" i="37"/>
  <c r="AD14" i="37"/>
  <c r="AD64" i="37"/>
  <c r="AD12" i="36"/>
  <c r="AC12" i="36"/>
  <c r="AD69" i="36"/>
  <c r="AC14" i="36"/>
  <c r="AD14" i="36"/>
  <c r="I14" i="36"/>
  <c r="AA65" i="36" s="1"/>
  <c r="H14" i="36"/>
  <c r="Z65" i="36" s="1"/>
  <c r="I12" i="36"/>
  <c r="AA63" i="36" s="1"/>
  <c r="H12" i="36"/>
  <c r="Z63" i="36" s="1"/>
  <c r="I14" i="35"/>
  <c r="AA65" i="35" s="1"/>
  <c r="H14" i="35"/>
  <c r="Z65" i="35" s="1"/>
  <c r="AC14" i="35"/>
  <c r="AD14" i="35"/>
  <c r="AD64" i="35"/>
  <c r="AD63" i="35"/>
  <c r="AD18" i="34"/>
  <c r="AC18" i="34"/>
  <c r="AC14" i="34"/>
  <c r="AD14" i="34"/>
  <c r="AC69" i="34"/>
  <c r="AD64" i="34"/>
  <c r="I14" i="34"/>
  <c r="AA65" i="34" s="1"/>
  <c r="H14" i="34"/>
  <c r="Z65" i="34" s="1"/>
  <c r="I18" i="34"/>
  <c r="AA69" i="34" s="1"/>
  <c r="H18" i="34"/>
  <c r="Z69" i="34" s="1"/>
  <c r="AD69" i="34" s="1"/>
  <c r="I14" i="33"/>
  <c r="AA65" i="33" s="1"/>
  <c r="H14" i="33"/>
  <c r="Z65" i="33" s="1"/>
  <c r="AC14" i="33"/>
  <c r="AD14" i="33"/>
  <c r="W69" i="33"/>
  <c r="AC66" i="31"/>
  <c r="AC62" i="31"/>
  <c r="AD66" i="31"/>
  <c r="U64" i="31"/>
  <c r="V64" i="31"/>
  <c r="T63" i="31"/>
  <c r="V63" i="31" s="1"/>
  <c r="AD62" i="31"/>
  <c r="S67" i="31"/>
  <c r="R67" i="31"/>
  <c r="V71" i="31"/>
  <c r="U71" i="31"/>
  <c r="V67" i="31"/>
  <c r="U67" i="31"/>
  <c r="V69" i="31"/>
  <c r="U69" i="31"/>
  <c r="Q65" i="31"/>
  <c r="R64" i="31"/>
  <c r="S64" i="31"/>
  <c r="Q63" i="31"/>
  <c r="Q69" i="31"/>
  <c r="S68" i="31"/>
  <c r="R68" i="31"/>
  <c r="U65" i="31"/>
  <c r="V65" i="31"/>
  <c r="B20" i="31"/>
  <c r="C20" i="31"/>
  <c r="F12" i="31"/>
  <c r="G12" i="31" s="1"/>
  <c r="Y63" i="31" s="1"/>
  <c r="D12" i="31"/>
  <c r="E12" i="31" s="1"/>
  <c r="X63" i="31" s="1"/>
  <c r="C12" i="31"/>
  <c r="B12" i="31"/>
  <c r="A14" i="31"/>
  <c r="B13" i="31"/>
  <c r="F13" i="31"/>
  <c r="G13" i="31" s="1"/>
  <c r="Y64" i="31" s="1"/>
  <c r="D13" i="31"/>
  <c r="E13" i="31" s="1"/>
  <c r="X64" i="31" s="1"/>
  <c r="C13" i="31"/>
  <c r="F16" i="31"/>
  <c r="G16" i="31" s="1"/>
  <c r="Y67" i="31" s="1"/>
  <c r="D16" i="31"/>
  <c r="E16" i="31" s="1"/>
  <c r="X67" i="31" s="1"/>
  <c r="C16" i="31"/>
  <c r="B16" i="31"/>
  <c r="A18" i="31"/>
  <c r="F17" i="31"/>
  <c r="G17" i="31" s="1"/>
  <c r="Y68" i="31" s="1"/>
  <c r="D17" i="31"/>
  <c r="E17" i="31" s="1"/>
  <c r="X68" i="31" s="1"/>
  <c r="B17" i="31"/>
  <c r="C17" i="31"/>
  <c r="AD70" i="31"/>
  <c r="B10" i="31"/>
  <c r="C10" i="31"/>
  <c r="W70" i="31"/>
  <c r="W68" i="31"/>
  <c r="AD67" i="35" l="1"/>
  <c r="AD69" i="35"/>
  <c r="AD65" i="35"/>
  <c r="U63" i="31"/>
  <c r="AC63" i="31" s="1"/>
  <c r="AD63" i="36"/>
  <c r="AD69" i="38"/>
  <c r="AD65" i="39"/>
  <c r="AD16" i="31"/>
  <c r="AC16" i="31"/>
  <c r="AD20" i="31"/>
  <c r="AC20" i="31"/>
  <c r="AD17" i="31"/>
  <c r="AC17" i="31"/>
  <c r="AD10" i="31"/>
  <c r="AC10" i="31"/>
  <c r="AD13" i="31"/>
  <c r="AC13" i="31"/>
  <c r="AA18" i="31"/>
  <c r="AB18" i="31"/>
  <c r="AA14" i="31"/>
  <c r="AB14" i="31"/>
  <c r="AB12" i="31"/>
  <c r="AA12" i="31"/>
  <c r="AD63" i="38"/>
  <c r="AD65" i="37"/>
  <c r="AD65" i="36"/>
  <c r="AD65" i="34"/>
  <c r="AD65" i="33"/>
  <c r="W64" i="31"/>
  <c r="W67" i="31"/>
  <c r="AC64" i="31"/>
  <c r="W69" i="31"/>
  <c r="AC68" i="31"/>
  <c r="R65" i="31"/>
  <c r="S65" i="31"/>
  <c r="I17" i="31"/>
  <c r="AA68" i="31" s="1"/>
  <c r="H17" i="31"/>
  <c r="Z68" i="31" s="1"/>
  <c r="I13" i="31"/>
  <c r="AA64" i="31" s="1"/>
  <c r="H13" i="31"/>
  <c r="Z64" i="31" s="1"/>
  <c r="I12" i="31"/>
  <c r="AA63" i="31" s="1"/>
  <c r="H12" i="31"/>
  <c r="Z63" i="31" s="1"/>
  <c r="H16" i="31"/>
  <c r="Z67" i="31" s="1"/>
  <c r="I16" i="31"/>
  <c r="AA67" i="31" s="1"/>
  <c r="R69" i="31"/>
  <c r="S69" i="31"/>
  <c r="F14" i="31"/>
  <c r="G14" i="31" s="1"/>
  <c r="Y65" i="31" s="1"/>
  <c r="D14" i="31"/>
  <c r="E14" i="31" s="1"/>
  <c r="X65" i="31" s="1"/>
  <c r="C14" i="31"/>
  <c r="B14" i="31"/>
  <c r="S63" i="31"/>
  <c r="R63" i="31"/>
  <c r="AC67" i="31"/>
  <c r="D18" i="31"/>
  <c r="E18" i="31" s="1"/>
  <c r="X69" i="31" s="1"/>
  <c r="F18" i="31"/>
  <c r="G18" i="31" s="1"/>
  <c r="Y69" i="31" s="1"/>
  <c r="B18" i="31"/>
  <c r="C18" i="31"/>
  <c r="W65" i="31"/>
  <c r="W63" i="31" l="1"/>
  <c r="AD14" i="31"/>
  <c r="AC14" i="31"/>
  <c r="AC18" i="31"/>
  <c r="AD18" i="31"/>
  <c r="AD12" i="31"/>
  <c r="AC12" i="31"/>
  <c r="AD63" i="31"/>
  <c r="AC65" i="31"/>
  <c r="AD68" i="31"/>
  <c r="AD67" i="31"/>
  <c r="AC69" i="31"/>
  <c r="AD64" i="31"/>
  <c r="I14" i="31"/>
  <c r="AA65" i="31" s="1"/>
  <c r="H14" i="31"/>
  <c r="Z65" i="31" s="1"/>
  <c r="I18" i="31"/>
  <c r="AA69" i="31" s="1"/>
  <c r="H18" i="31"/>
  <c r="Z69" i="31" s="1"/>
  <c r="AD69" i="31" l="1"/>
  <c r="AD65" i="31"/>
  <c r="K67" i="28"/>
  <c r="K66" i="28"/>
  <c r="K65" i="28"/>
  <c r="K64" i="28"/>
  <c r="K63" i="28"/>
  <c r="K62" i="28"/>
  <c r="K61" i="28"/>
  <c r="K60" i="28"/>
  <c r="L67" i="28"/>
  <c r="L60" i="28"/>
  <c r="O67" i="28" l="1"/>
  <c r="O66" i="28"/>
  <c r="O65" i="28"/>
  <c r="O64" i="28"/>
  <c r="O63" i="28"/>
  <c r="O62" i="28"/>
  <c r="O61" i="28"/>
  <c r="O60" i="28"/>
  <c r="L66" i="28"/>
  <c r="L65" i="28"/>
  <c r="L64" i="28"/>
  <c r="L63" i="28"/>
  <c r="L62" i="28"/>
  <c r="L61" i="28"/>
  <c r="N67" i="28" l="1"/>
  <c r="P67" i="28" s="1"/>
  <c r="M67" i="28"/>
  <c r="H67" i="28"/>
  <c r="J67" i="28" s="1"/>
  <c r="E67" i="28"/>
  <c r="G67" i="28" s="1"/>
  <c r="N66" i="28"/>
  <c r="P66" i="28" s="1"/>
  <c r="M66" i="28"/>
  <c r="H66" i="28"/>
  <c r="J66" i="28" s="1"/>
  <c r="E66" i="28"/>
  <c r="G66" i="28" s="1"/>
  <c r="N65" i="28"/>
  <c r="P65" i="28" s="1"/>
  <c r="M65" i="28"/>
  <c r="H65" i="28"/>
  <c r="J65" i="28" s="1"/>
  <c r="E65" i="28"/>
  <c r="G65" i="28" s="1"/>
  <c r="N64" i="28"/>
  <c r="P64" i="28" s="1"/>
  <c r="M64" i="28"/>
  <c r="H64" i="28"/>
  <c r="J64" i="28" s="1"/>
  <c r="E64" i="28"/>
  <c r="G64" i="28" s="1"/>
  <c r="N63" i="28"/>
  <c r="P63" i="28" s="1"/>
  <c r="M63" i="28"/>
  <c r="H63" i="28"/>
  <c r="J63" i="28" s="1"/>
  <c r="E63" i="28"/>
  <c r="G63" i="28" s="1"/>
  <c r="N62" i="28"/>
  <c r="P62" i="28" s="1"/>
  <c r="M62" i="28"/>
  <c r="H62" i="28"/>
  <c r="J62" i="28" s="1"/>
  <c r="E62" i="28"/>
  <c r="G62" i="28" s="1"/>
  <c r="N61" i="28"/>
  <c r="P61" i="28" s="1"/>
  <c r="M61" i="28"/>
  <c r="H61" i="28"/>
  <c r="J61" i="28" s="1"/>
  <c r="E61" i="28"/>
  <c r="G61" i="28" s="1"/>
  <c r="V60" i="28"/>
  <c r="U60" i="28"/>
  <c r="N60" i="28"/>
  <c r="P60" i="28" s="1"/>
  <c r="M60" i="28"/>
  <c r="H60" i="28"/>
  <c r="J60" i="28" s="1"/>
  <c r="E60" i="28"/>
  <c r="G60" i="28" s="1"/>
  <c r="AD9" i="28"/>
  <c r="AC9" i="28"/>
  <c r="AB9" i="28"/>
  <c r="AA9" i="28"/>
  <c r="Z3" i="28"/>
  <c r="Y3" i="28"/>
  <c r="X3" i="28"/>
  <c r="W3" i="28"/>
  <c r="V3" i="28"/>
  <c r="U3" i="28"/>
  <c r="T3" i="28"/>
  <c r="S3" i="28"/>
  <c r="R3" i="28"/>
  <c r="Q3" i="28"/>
  <c r="P3" i="28"/>
  <c r="O3" i="28"/>
  <c r="B9" i="28" s="1"/>
  <c r="R60" i="28" s="1"/>
  <c r="N3" i="28"/>
  <c r="T72" i="28" s="1"/>
  <c r="L3" i="28"/>
  <c r="K3" i="28"/>
  <c r="J3" i="28"/>
  <c r="Q70" i="28" s="1"/>
  <c r="I3" i="28"/>
  <c r="AB66" i="28" s="1"/>
  <c r="H3" i="28"/>
  <c r="G3" i="28"/>
  <c r="F3" i="28"/>
  <c r="T66" i="28" s="1"/>
  <c r="E3" i="28"/>
  <c r="D3" i="28"/>
  <c r="C3" i="28"/>
  <c r="A11" i="28" s="1"/>
  <c r="B3" i="28"/>
  <c r="A3" i="28"/>
  <c r="Q62" i="28" l="1"/>
  <c r="Q61" i="28" s="1"/>
  <c r="R61" i="28" s="1"/>
  <c r="A15" i="28"/>
  <c r="F15" i="28" s="1"/>
  <c r="G15" i="28" s="1"/>
  <c r="Y66" i="28" s="1"/>
  <c r="AB15" i="28"/>
  <c r="T62" i="28"/>
  <c r="D15" i="28"/>
  <c r="J13" i="28"/>
  <c r="V72" i="28"/>
  <c r="U72" i="28"/>
  <c r="V66" i="28"/>
  <c r="U66" i="28"/>
  <c r="A13" i="28"/>
  <c r="D11" i="28"/>
  <c r="E11" i="28" s="1"/>
  <c r="X62" i="28" s="1"/>
  <c r="J10" i="28"/>
  <c r="J9" i="28"/>
  <c r="AB11" i="28"/>
  <c r="B11" i="28"/>
  <c r="A10" i="28"/>
  <c r="AA11" i="28"/>
  <c r="A12" i="28"/>
  <c r="F11" i="28"/>
  <c r="R70" i="28"/>
  <c r="C13" i="28"/>
  <c r="U62" i="28"/>
  <c r="Q66" i="28"/>
  <c r="R66" i="28" s="1"/>
  <c r="S70" i="28"/>
  <c r="T61" i="28"/>
  <c r="T64" i="28"/>
  <c r="T63" i="28" s="1"/>
  <c r="T70" i="28"/>
  <c r="T68" i="28" s="1"/>
  <c r="Q72" i="28"/>
  <c r="R72" i="28" s="1"/>
  <c r="G11" i="28"/>
  <c r="Y62" i="28" s="1"/>
  <c r="V62" i="28"/>
  <c r="C12" i="28"/>
  <c r="B15" i="28"/>
  <c r="S66" i="28"/>
  <c r="A19" i="28"/>
  <c r="C19" i="28" s="1"/>
  <c r="B12" i="28"/>
  <c r="C15" i="28"/>
  <c r="AA15" i="28"/>
  <c r="A21" i="28"/>
  <c r="C9" i="28"/>
  <c r="S60" i="28" s="1"/>
  <c r="C10" i="28"/>
  <c r="C11" i="28"/>
  <c r="E15" i="28"/>
  <c r="X66" i="28" s="1"/>
  <c r="C21" i="28"/>
  <c r="R62" i="28"/>
  <c r="Z3" i="25"/>
  <c r="Y3" i="25"/>
  <c r="X3" i="25"/>
  <c r="W3" i="25"/>
  <c r="V3" i="25"/>
  <c r="U3" i="25"/>
  <c r="T3" i="25"/>
  <c r="S3" i="25"/>
  <c r="R3" i="25"/>
  <c r="Q3" i="25"/>
  <c r="P3" i="25"/>
  <c r="O3" i="25"/>
  <c r="N3" i="25"/>
  <c r="L3" i="25"/>
  <c r="K3" i="25"/>
  <c r="J3" i="25"/>
  <c r="I3" i="25"/>
  <c r="H3" i="25"/>
  <c r="G3" i="25"/>
  <c r="F3" i="25"/>
  <c r="E3" i="25"/>
  <c r="D3" i="25"/>
  <c r="C3" i="25"/>
  <c r="B3" i="25"/>
  <c r="A3" i="25"/>
  <c r="Z3" i="24"/>
  <c r="Y3" i="24"/>
  <c r="X3" i="24"/>
  <c r="W3" i="24"/>
  <c r="V3" i="24"/>
  <c r="U3" i="24"/>
  <c r="T3" i="24"/>
  <c r="S3" i="24"/>
  <c r="R3" i="24"/>
  <c r="Q3" i="24"/>
  <c r="P3" i="24"/>
  <c r="O3" i="24"/>
  <c r="N3" i="24"/>
  <c r="L3" i="24"/>
  <c r="K3" i="24"/>
  <c r="J3" i="24"/>
  <c r="I3" i="24"/>
  <c r="H3" i="24"/>
  <c r="G3" i="24"/>
  <c r="F3" i="24"/>
  <c r="E3" i="24"/>
  <c r="D3" i="24"/>
  <c r="C3" i="24"/>
  <c r="B3" i="24"/>
  <c r="A3" i="24"/>
  <c r="Q64" i="28" l="1"/>
  <c r="Q65" i="28" s="1"/>
  <c r="J12" i="28"/>
  <c r="S62" i="28"/>
  <c r="S72" i="28"/>
  <c r="Q71" i="28"/>
  <c r="R71" i="28" s="1"/>
  <c r="A17" i="28"/>
  <c r="C17" i="28" s="1"/>
  <c r="I17" i="28" s="1"/>
  <c r="AA68" i="28" s="1"/>
  <c r="B19" i="28"/>
  <c r="H19" i="28"/>
  <c r="Z70" i="28" s="1"/>
  <c r="I19" i="28"/>
  <c r="AA70" i="28" s="1"/>
  <c r="V63" i="28"/>
  <c r="U63" i="28"/>
  <c r="T69" i="28"/>
  <c r="V68" i="28"/>
  <c r="U68" i="28"/>
  <c r="I15" i="28"/>
  <c r="AA66" i="28" s="1"/>
  <c r="H15" i="28"/>
  <c r="Z66" i="28" s="1"/>
  <c r="B10" i="28"/>
  <c r="AB10" i="28"/>
  <c r="AA10" i="28"/>
  <c r="T67" i="28"/>
  <c r="W62" i="28"/>
  <c r="AC66" i="28"/>
  <c r="AA17" i="28"/>
  <c r="D17" i="28"/>
  <c r="E17" i="28" s="1"/>
  <c r="X68" i="28" s="1"/>
  <c r="A16" i="28"/>
  <c r="AA21" i="28"/>
  <c r="B21" i="28"/>
  <c r="AB21" i="28"/>
  <c r="T71" i="28"/>
  <c r="V70" i="28"/>
  <c r="U70" i="28"/>
  <c r="I11" i="28"/>
  <c r="AA62" i="28" s="1"/>
  <c r="H11" i="28"/>
  <c r="Z62" i="28" s="1"/>
  <c r="AD62" i="28" s="1"/>
  <c r="Q68" i="28"/>
  <c r="Q67" i="28" s="1"/>
  <c r="I13" i="28"/>
  <c r="AA64" i="28" s="1"/>
  <c r="H13" i="28"/>
  <c r="Z64" i="28" s="1"/>
  <c r="W66" i="28"/>
  <c r="AE66" i="28" s="1"/>
  <c r="A20" i="28"/>
  <c r="F19" i="28"/>
  <c r="G19" i="28" s="1"/>
  <c r="Y70" i="28" s="1"/>
  <c r="D19" i="28"/>
  <c r="E19" i="28" s="1"/>
  <c r="X70" i="28" s="1"/>
  <c r="J15" i="28"/>
  <c r="AB19" i="28"/>
  <c r="AA19" i="28"/>
  <c r="J16" i="28"/>
  <c r="H12" i="28"/>
  <c r="Z63" i="28" s="1"/>
  <c r="I12" i="28"/>
  <c r="AA63" i="28" s="1"/>
  <c r="T65" i="28"/>
  <c r="V64" i="28"/>
  <c r="U64" i="28"/>
  <c r="AC62" i="28"/>
  <c r="R64" i="28"/>
  <c r="AD15" i="28"/>
  <c r="AC15" i="28"/>
  <c r="AC11" i="28"/>
  <c r="AD11" i="28"/>
  <c r="Q63" i="28"/>
  <c r="V61" i="28"/>
  <c r="U61" i="28"/>
  <c r="S61" i="28"/>
  <c r="F12" i="28"/>
  <c r="G12" i="28" s="1"/>
  <c r="Y63" i="28" s="1"/>
  <c r="AB12" i="28"/>
  <c r="D12" i="28"/>
  <c r="E12" i="28" s="1"/>
  <c r="X63" i="28" s="1"/>
  <c r="AA12" i="28"/>
  <c r="F13" i="28"/>
  <c r="G13" i="28" s="1"/>
  <c r="Y64" i="28" s="1"/>
  <c r="AB13" i="28"/>
  <c r="A14" i="28"/>
  <c r="D13" i="28"/>
  <c r="E13" i="28" s="1"/>
  <c r="X64" i="28" s="1"/>
  <c r="B13" i="28"/>
  <c r="AA13" i="28"/>
  <c r="K60" i="23"/>
  <c r="F17" i="28" l="1"/>
  <c r="G17" i="28" s="1"/>
  <c r="Y68" i="28" s="1"/>
  <c r="S64" i="28"/>
  <c r="AD70" i="28"/>
  <c r="A18" i="28"/>
  <c r="B17" i="28"/>
  <c r="AB17" i="28"/>
  <c r="S71" i="28"/>
  <c r="H17" i="28"/>
  <c r="Z68" i="28" s="1"/>
  <c r="AD68" i="28" s="1"/>
  <c r="R65" i="28"/>
  <c r="S65" i="28"/>
  <c r="AD63" i="28"/>
  <c r="AD66" i="28"/>
  <c r="AC64" i="28"/>
  <c r="W70" i="28"/>
  <c r="W63" i="28"/>
  <c r="AD19" i="28"/>
  <c r="AC19" i="28"/>
  <c r="S63" i="28"/>
  <c r="R63" i="28"/>
  <c r="S67" i="28"/>
  <c r="R67" i="28"/>
  <c r="AD13" i="28"/>
  <c r="AC13" i="28"/>
  <c r="AD21" i="28"/>
  <c r="AC21" i="28"/>
  <c r="V69" i="28"/>
  <c r="U69" i="28"/>
  <c r="AD17" i="28"/>
  <c r="AC17" i="28"/>
  <c r="AA20" i="28"/>
  <c r="AB20" i="28"/>
  <c r="B20" i="28"/>
  <c r="C20" i="28"/>
  <c r="F16" i="28"/>
  <c r="G16" i="28" s="1"/>
  <c r="Y67" i="28" s="1"/>
  <c r="AB16" i="28"/>
  <c r="D16" i="28"/>
  <c r="E16" i="28" s="1"/>
  <c r="X67" i="28" s="1"/>
  <c r="AA16" i="28"/>
  <c r="C16" i="28"/>
  <c r="B16" i="28"/>
  <c r="AC68" i="28"/>
  <c r="AD64" i="28"/>
  <c r="W64" i="28"/>
  <c r="AC70" i="28"/>
  <c r="V67" i="28"/>
  <c r="U67" i="28"/>
  <c r="AB18" i="28"/>
  <c r="D18" i="28"/>
  <c r="E18" i="28" s="1"/>
  <c r="X69" i="28" s="1"/>
  <c r="AA18" i="28"/>
  <c r="F18" i="28"/>
  <c r="G18" i="28" s="1"/>
  <c r="Y69" i="28" s="1"/>
  <c r="B18" i="28"/>
  <c r="C18" i="28"/>
  <c r="V71" i="28"/>
  <c r="U71" i="28"/>
  <c r="AD12" i="28"/>
  <c r="AC12" i="28"/>
  <c r="Q69" i="28"/>
  <c r="S68" i="28"/>
  <c r="R68" i="28"/>
  <c r="AC63" i="28"/>
  <c r="V65" i="28"/>
  <c r="U65" i="28"/>
  <c r="AB14" i="28"/>
  <c r="AA14" i="28"/>
  <c r="D14" i="28"/>
  <c r="E14" i="28" s="1"/>
  <c r="X65" i="28" s="1"/>
  <c r="F14" i="28"/>
  <c r="G14" i="28" s="1"/>
  <c r="Y65" i="28" s="1"/>
  <c r="C14" i="28"/>
  <c r="B14" i="28"/>
  <c r="AD10" i="28"/>
  <c r="AC10" i="28"/>
  <c r="W68" i="28"/>
  <c r="P71" i="25"/>
  <c r="M71" i="25"/>
  <c r="J71" i="25"/>
  <c r="G71" i="25"/>
  <c r="N71" i="25"/>
  <c r="E71" i="25"/>
  <c r="H71" i="25"/>
  <c r="K71" i="25"/>
  <c r="N70" i="25"/>
  <c r="P70" i="25" s="1"/>
  <c r="K70" i="25"/>
  <c r="M70" i="25" s="1"/>
  <c r="H70" i="25"/>
  <c r="J70" i="25" s="1"/>
  <c r="E70" i="25"/>
  <c r="G70" i="25" s="1"/>
  <c r="N69" i="25"/>
  <c r="P69" i="25" s="1"/>
  <c r="K69" i="25"/>
  <c r="M69" i="25" s="1"/>
  <c r="H69" i="25"/>
  <c r="J69" i="25" s="1"/>
  <c r="E69" i="25"/>
  <c r="G69" i="25" s="1"/>
  <c r="N68" i="25"/>
  <c r="P68" i="25" s="1"/>
  <c r="K68" i="25"/>
  <c r="M68" i="25" s="1"/>
  <c r="H68" i="25"/>
  <c r="J68" i="25" s="1"/>
  <c r="E68" i="25"/>
  <c r="G68" i="25" s="1"/>
  <c r="N67" i="25"/>
  <c r="P67" i="25" s="1"/>
  <c r="K67" i="25"/>
  <c r="M67" i="25" s="1"/>
  <c r="H67" i="25"/>
  <c r="J67" i="25" s="1"/>
  <c r="E67" i="25"/>
  <c r="G67" i="25" s="1"/>
  <c r="N66" i="25"/>
  <c r="P66" i="25" s="1"/>
  <c r="K66" i="25"/>
  <c r="M66" i="25" s="1"/>
  <c r="H66" i="25"/>
  <c r="J66" i="25" s="1"/>
  <c r="E66" i="25"/>
  <c r="G66" i="25" s="1"/>
  <c r="N65" i="25"/>
  <c r="P65" i="25" s="1"/>
  <c r="K65" i="25"/>
  <c r="M65" i="25" s="1"/>
  <c r="H65" i="25"/>
  <c r="J65" i="25" s="1"/>
  <c r="G65" i="25"/>
  <c r="E65" i="25"/>
  <c r="N64" i="25"/>
  <c r="P64" i="25" s="1"/>
  <c r="K64" i="25"/>
  <c r="M64" i="25" s="1"/>
  <c r="H64" i="25"/>
  <c r="J64" i="25" s="1"/>
  <c r="E64" i="25"/>
  <c r="G64" i="25" s="1"/>
  <c r="N63" i="25"/>
  <c r="P63" i="25" s="1"/>
  <c r="K63" i="25"/>
  <c r="M63" i="25" s="1"/>
  <c r="H63" i="25"/>
  <c r="J63" i="25" s="1"/>
  <c r="E63" i="25"/>
  <c r="G63" i="25" s="1"/>
  <c r="T62" i="25"/>
  <c r="N62" i="25"/>
  <c r="P62" i="25" s="1"/>
  <c r="K62" i="25"/>
  <c r="M62" i="25" s="1"/>
  <c r="H62" i="25"/>
  <c r="J62" i="25" s="1"/>
  <c r="E62" i="25"/>
  <c r="G62" i="25" s="1"/>
  <c r="N61" i="25"/>
  <c r="P61" i="25" s="1"/>
  <c r="K61" i="25"/>
  <c r="M61" i="25" s="1"/>
  <c r="H61" i="25"/>
  <c r="J61" i="25" s="1"/>
  <c r="E61" i="25"/>
  <c r="G61" i="25" s="1"/>
  <c r="V60" i="25"/>
  <c r="U60" i="25"/>
  <c r="N60" i="25"/>
  <c r="P60" i="25" s="1"/>
  <c r="K60" i="25"/>
  <c r="M60" i="25" s="1"/>
  <c r="H60" i="25"/>
  <c r="J60" i="25" s="1"/>
  <c r="E60" i="25"/>
  <c r="G60" i="25" s="1"/>
  <c r="A19" i="25"/>
  <c r="AD9" i="25"/>
  <c r="AC9" i="25"/>
  <c r="AB9" i="25"/>
  <c r="AA9" i="25"/>
  <c r="B9" i="25"/>
  <c r="R60" i="25" s="1"/>
  <c r="T72" i="25"/>
  <c r="Q70" i="25"/>
  <c r="AB66" i="25"/>
  <c r="T66" i="25"/>
  <c r="Q62" i="25"/>
  <c r="P71" i="24"/>
  <c r="M71" i="24"/>
  <c r="J71" i="24"/>
  <c r="G71" i="24"/>
  <c r="N71" i="24"/>
  <c r="E71" i="24"/>
  <c r="H71" i="24"/>
  <c r="K71" i="24"/>
  <c r="N70" i="24"/>
  <c r="P70" i="24" s="1"/>
  <c r="K70" i="24"/>
  <c r="M70" i="24" s="1"/>
  <c r="H70" i="24"/>
  <c r="J70" i="24" s="1"/>
  <c r="E70" i="24"/>
  <c r="G70" i="24" s="1"/>
  <c r="N69" i="24"/>
  <c r="P69" i="24" s="1"/>
  <c r="K69" i="24"/>
  <c r="M69" i="24" s="1"/>
  <c r="H69" i="24"/>
  <c r="J69" i="24" s="1"/>
  <c r="E69" i="24"/>
  <c r="G69" i="24" s="1"/>
  <c r="N68" i="24"/>
  <c r="P68" i="24" s="1"/>
  <c r="K68" i="24"/>
  <c r="M68" i="24" s="1"/>
  <c r="H68" i="24"/>
  <c r="J68" i="24" s="1"/>
  <c r="E68" i="24"/>
  <c r="G68" i="24" s="1"/>
  <c r="N67" i="24"/>
  <c r="P67" i="24" s="1"/>
  <c r="K67" i="24"/>
  <c r="M67" i="24" s="1"/>
  <c r="H67" i="24"/>
  <c r="J67" i="24" s="1"/>
  <c r="E67" i="24"/>
  <c r="G67" i="24" s="1"/>
  <c r="N66" i="24"/>
  <c r="P66" i="24" s="1"/>
  <c r="K66" i="24"/>
  <c r="M66" i="24" s="1"/>
  <c r="H66" i="24"/>
  <c r="J66" i="24" s="1"/>
  <c r="E66" i="24"/>
  <c r="G66" i="24" s="1"/>
  <c r="N65" i="24"/>
  <c r="P65" i="24" s="1"/>
  <c r="K65" i="24"/>
  <c r="M65" i="24" s="1"/>
  <c r="H65" i="24"/>
  <c r="J65" i="24" s="1"/>
  <c r="E65" i="24"/>
  <c r="G65" i="24" s="1"/>
  <c r="N64" i="24"/>
  <c r="P64" i="24" s="1"/>
  <c r="K64" i="24"/>
  <c r="M64" i="24" s="1"/>
  <c r="H64" i="24"/>
  <c r="J64" i="24" s="1"/>
  <c r="E64" i="24"/>
  <c r="G64" i="24" s="1"/>
  <c r="N63" i="24"/>
  <c r="P63" i="24" s="1"/>
  <c r="K63" i="24"/>
  <c r="M63" i="24" s="1"/>
  <c r="H63" i="24"/>
  <c r="J63" i="24" s="1"/>
  <c r="E63" i="24"/>
  <c r="G63" i="24" s="1"/>
  <c r="N62" i="24"/>
  <c r="P62" i="24" s="1"/>
  <c r="K62" i="24"/>
  <c r="M62" i="24" s="1"/>
  <c r="H62" i="24"/>
  <c r="J62" i="24" s="1"/>
  <c r="E62" i="24"/>
  <c r="G62" i="24" s="1"/>
  <c r="N61" i="24"/>
  <c r="P61" i="24" s="1"/>
  <c r="K61" i="24"/>
  <c r="M61" i="24" s="1"/>
  <c r="H61" i="24"/>
  <c r="J61" i="24" s="1"/>
  <c r="E61" i="24"/>
  <c r="G61" i="24" s="1"/>
  <c r="V60" i="24"/>
  <c r="U60" i="24"/>
  <c r="N60" i="24"/>
  <c r="P60" i="24" s="1"/>
  <c r="K60" i="24"/>
  <c r="M60" i="24" s="1"/>
  <c r="H60" i="24"/>
  <c r="J60" i="24" s="1"/>
  <c r="E60" i="24"/>
  <c r="G60" i="24" s="1"/>
  <c r="AD9" i="24"/>
  <c r="AC9" i="24"/>
  <c r="AB9" i="24"/>
  <c r="AA9" i="24"/>
  <c r="C9" i="24"/>
  <c r="S60" i="24" s="1"/>
  <c r="T72" i="24"/>
  <c r="Q70" i="24"/>
  <c r="AB66" i="24"/>
  <c r="T66" i="24"/>
  <c r="Q62" i="24"/>
  <c r="N70" i="23"/>
  <c r="P70" i="23" s="1"/>
  <c r="N69" i="23"/>
  <c r="P69" i="23" s="1"/>
  <c r="N68" i="23"/>
  <c r="P68" i="23" s="1"/>
  <c r="N67" i="23"/>
  <c r="P67" i="23" s="1"/>
  <c r="N66" i="23"/>
  <c r="P66" i="23" s="1"/>
  <c r="N65" i="23"/>
  <c r="P65" i="23" s="1"/>
  <c r="N64" i="23"/>
  <c r="P64" i="23" s="1"/>
  <c r="N63" i="23"/>
  <c r="P63" i="23" s="1"/>
  <c r="N62" i="23"/>
  <c r="P62" i="23" s="1"/>
  <c r="N61" i="23"/>
  <c r="N60" i="23"/>
  <c r="P60" i="23" s="1"/>
  <c r="H60" i="23"/>
  <c r="J60" i="23" s="1"/>
  <c r="K70" i="23"/>
  <c r="M70" i="23" s="1"/>
  <c r="K69" i="23"/>
  <c r="M69" i="23" s="1"/>
  <c r="K68" i="23"/>
  <c r="M68" i="23" s="1"/>
  <c r="K67" i="23"/>
  <c r="M67" i="23" s="1"/>
  <c r="K66" i="23"/>
  <c r="M66" i="23" s="1"/>
  <c r="K65" i="23"/>
  <c r="M65" i="23" s="1"/>
  <c r="K64" i="23"/>
  <c r="M64" i="23" s="1"/>
  <c r="K63" i="23"/>
  <c r="M63" i="23" s="1"/>
  <c r="K62" i="23"/>
  <c r="M62" i="23" s="1"/>
  <c r="K61" i="23"/>
  <c r="M61" i="23" s="1"/>
  <c r="M60" i="23"/>
  <c r="H70" i="23"/>
  <c r="J70" i="23" s="1"/>
  <c r="H69" i="23"/>
  <c r="J69" i="23" s="1"/>
  <c r="H68" i="23"/>
  <c r="J68" i="23" s="1"/>
  <c r="H67" i="23"/>
  <c r="J67" i="23" s="1"/>
  <c r="H66" i="23"/>
  <c r="J66" i="23" s="1"/>
  <c r="H65" i="23"/>
  <c r="J65" i="23" s="1"/>
  <c r="H64" i="23"/>
  <c r="J64" i="23" s="1"/>
  <c r="H63" i="23"/>
  <c r="J63" i="23" s="1"/>
  <c r="H62" i="23"/>
  <c r="J62" i="23" s="1"/>
  <c r="H61" i="23"/>
  <c r="J61" i="23" s="1"/>
  <c r="E70" i="23"/>
  <c r="G70" i="23" s="1"/>
  <c r="E69" i="23"/>
  <c r="G69" i="23" s="1"/>
  <c r="E68" i="23"/>
  <c r="G68" i="23" s="1"/>
  <c r="E67" i="23"/>
  <c r="G67" i="23" s="1"/>
  <c r="E66" i="23"/>
  <c r="G66" i="23" s="1"/>
  <c r="E65" i="23"/>
  <c r="G65" i="23" s="1"/>
  <c r="E64" i="23"/>
  <c r="G64" i="23" s="1"/>
  <c r="E63" i="23"/>
  <c r="G63" i="23" s="1"/>
  <c r="E62" i="23"/>
  <c r="G62" i="23" s="1"/>
  <c r="E61" i="23"/>
  <c r="G61" i="23" s="1"/>
  <c r="E60" i="23"/>
  <c r="G60" i="23" s="1"/>
  <c r="Z3" i="23"/>
  <c r="Y3" i="23"/>
  <c r="X3" i="23"/>
  <c r="W3" i="23"/>
  <c r="V3" i="23"/>
  <c r="U3" i="23"/>
  <c r="C9" i="23" s="1"/>
  <c r="S60" i="23" s="1"/>
  <c r="T3" i="23"/>
  <c r="S3" i="23"/>
  <c r="R3" i="23"/>
  <c r="Q3" i="23"/>
  <c r="P3" i="23"/>
  <c r="O3" i="23"/>
  <c r="N3" i="23"/>
  <c r="A21" i="23" s="1"/>
  <c r="L3" i="23"/>
  <c r="K3" i="23"/>
  <c r="J3" i="23"/>
  <c r="Q70" i="23" s="1"/>
  <c r="I3" i="23"/>
  <c r="AB66" i="23" s="1"/>
  <c r="H3" i="23"/>
  <c r="G3" i="23"/>
  <c r="F3" i="23"/>
  <c r="Q66" i="23" s="1"/>
  <c r="E3" i="23"/>
  <c r="D3" i="23"/>
  <c r="C3" i="23"/>
  <c r="A11" i="23" s="1"/>
  <c r="B3" i="23"/>
  <c r="A3" i="23"/>
  <c r="AD9" i="23"/>
  <c r="AC9" i="23"/>
  <c r="AB9" i="23"/>
  <c r="AA9" i="23"/>
  <c r="X3" i="1"/>
  <c r="Q3" i="1"/>
  <c r="U60" i="23"/>
  <c r="V60" i="23"/>
  <c r="Q62" i="23"/>
  <c r="Q61" i="23" s="1"/>
  <c r="T62" i="23"/>
  <c r="V62" i="23" s="1"/>
  <c r="S3" i="1"/>
  <c r="T3" i="1"/>
  <c r="N3" i="1"/>
  <c r="M3" i="1"/>
  <c r="W3" i="1"/>
  <c r="P3" i="1"/>
  <c r="U3" i="1"/>
  <c r="AC67" i="28" l="1"/>
  <c r="T70" i="23"/>
  <c r="R62" i="23"/>
  <c r="A19" i="23"/>
  <c r="T61" i="23"/>
  <c r="V61" i="23" s="1"/>
  <c r="U62" i="23"/>
  <c r="W69" i="28"/>
  <c r="W65" i="28"/>
  <c r="H16" i="28"/>
  <c r="Z67" i="28" s="1"/>
  <c r="I16" i="28"/>
  <c r="AA67" i="28" s="1"/>
  <c r="AD16" i="28"/>
  <c r="AC16" i="28"/>
  <c r="AC69" i="28"/>
  <c r="AD20" i="28"/>
  <c r="AC20" i="28"/>
  <c r="AC14" i="28"/>
  <c r="AD14" i="28"/>
  <c r="R69" i="28"/>
  <c r="S69" i="28"/>
  <c r="AD18" i="28"/>
  <c r="AC18" i="28"/>
  <c r="W67" i="28"/>
  <c r="H14" i="28"/>
  <c r="Z65" i="28" s="1"/>
  <c r="I14" i="28"/>
  <c r="AA65" i="28" s="1"/>
  <c r="I18" i="28"/>
  <c r="AA69" i="28" s="1"/>
  <c r="AD69" i="28" s="1"/>
  <c r="H18" i="28"/>
  <c r="Z69" i="28" s="1"/>
  <c r="AD67" i="28"/>
  <c r="AC65" i="28"/>
  <c r="V72" i="25"/>
  <c r="U72" i="25"/>
  <c r="V66" i="25"/>
  <c r="U66" i="25"/>
  <c r="Q61" i="25"/>
  <c r="R61" i="25" s="1"/>
  <c r="R70" i="25"/>
  <c r="J16" i="25"/>
  <c r="B19" i="25"/>
  <c r="AA19" i="25"/>
  <c r="U62" i="25"/>
  <c r="Q66" i="25"/>
  <c r="S66" i="25" s="1"/>
  <c r="S70" i="25"/>
  <c r="A15" i="25"/>
  <c r="C19" i="25"/>
  <c r="AB19" i="25"/>
  <c r="T61" i="25"/>
  <c r="V62" i="25"/>
  <c r="T64" i="25"/>
  <c r="R66" i="25"/>
  <c r="T70" i="25"/>
  <c r="T68" i="25" s="1"/>
  <c r="Q72" i="25"/>
  <c r="Q71" i="25" s="1"/>
  <c r="R71" i="25" s="1"/>
  <c r="J15" i="25"/>
  <c r="D19" i="25"/>
  <c r="E19" i="25" s="1"/>
  <c r="X70" i="25" s="1"/>
  <c r="A11" i="25"/>
  <c r="C11" i="25" s="1"/>
  <c r="C15" i="25"/>
  <c r="A21" i="25"/>
  <c r="C21" i="25" s="1"/>
  <c r="S72" i="25"/>
  <c r="F19" i="25"/>
  <c r="G19" i="25" s="1"/>
  <c r="Y70" i="25" s="1"/>
  <c r="C9" i="25"/>
  <c r="S60" i="25" s="1"/>
  <c r="R62" i="25"/>
  <c r="S62" i="25"/>
  <c r="V72" i="24"/>
  <c r="U72" i="24"/>
  <c r="V66" i="24"/>
  <c r="U66" i="24"/>
  <c r="Q61" i="24"/>
  <c r="S61" i="24" s="1"/>
  <c r="R62" i="24"/>
  <c r="A19" i="24"/>
  <c r="C19" i="24" s="1"/>
  <c r="T62" i="24"/>
  <c r="R70" i="24"/>
  <c r="Q66" i="24"/>
  <c r="R66" i="24" s="1"/>
  <c r="S70" i="24"/>
  <c r="A15" i="24"/>
  <c r="C15" i="24" s="1"/>
  <c r="T70" i="24"/>
  <c r="Q72" i="24"/>
  <c r="Q71" i="24" s="1"/>
  <c r="A11" i="24"/>
  <c r="A21" i="24"/>
  <c r="B9" i="24"/>
  <c r="R60" i="24" s="1"/>
  <c r="B21" i="24"/>
  <c r="S62" i="24"/>
  <c r="AB21" i="23"/>
  <c r="AA21" i="23"/>
  <c r="B21" i="23"/>
  <c r="J15" i="23"/>
  <c r="A20" i="23"/>
  <c r="AA20" i="23" s="1"/>
  <c r="AC20" i="23" s="1"/>
  <c r="T72" i="23"/>
  <c r="AA19" i="23"/>
  <c r="AC19" i="23" s="1"/>
  <c r="Q72" i="23"/>
  <c r="R72" i="23" s="1"/>
  <c r="R70" i="23"/>
  <c r="C21" i="23"/>
  <c r="S70" i="23"/>
  <c r="P61" i="23"/>
  <c r="C11" i="23"/>
  <c r="I11" i="23" s="1"/>
  <c r="AA62" i="23" s="1"/>
  <c r="S62" i="23"/>
  <c r="W62" i="23"/>
  <c r="Q68" i="23"/>
  <c r="Q67" i="23" s="1"/>
  <c r="S66" i="23"/>
  <c r="A10" i="23"/>
  <c r="Q64" i="23"/>
  <c r="Q63" i="23" s="1"/>
  <c r="U61" i="23"/>
  <c r="J10" i="23"/>
  <c r="AA11" i="23"/>
  <c r="T66" i="23"/>
  <c r="A15" i="23"/>
  <c r="B15" i="23" s="1"/>
  <c r="B9" i="23"/>
  <c r="R60" i="23" s="1"/>
  <c r="J9" i="23"/>
  <c r="AB11" i="23"/>
  <c r="R66" i="23"/>
  <c r="R68" i="23"/>
  <c r="S61" i="23"/>
  <c r="C20" i="23"/>
  <c r="V70" i="23"/>
  <c r="B11" i="23"/>
  <c r="C19" i="23"/>
  <c r="U70" i="23"/>
  <c r="D11" i="23"/>
  <c r="E11" i="23" s="1"/>
  <c r="X62" i="23" s="1"/>
  <c r="B19" i="23"/>
  <c r="F11" i="23"/>
  <c r="G11" i="23" s="1"/>
  <c r="Y62" i="23" s="1"/>
  <c r="AD65" i="28" l="1"/>
  <c r="AD20" i="23"/>
  <c r="S66" i="24"/>
  <c r="R72" i="25"/>
  <c r="AB20" i="23"/>
  <c r="B20" i="23"/>
  <c r="AB19" i="23"/>
  <c r="J16" i="23"/>
  <c r="F19" i="23"/>
  <c r="G19" i="23" s="1"/>
  <c r="Y70" i="23" s="1"/>
  <c r="D19" i="23"/>
  <c r="E19" i="23" s="1"/>
  <c r="X70" i="23" s="1"/>
  <c r="S72" i="24"/>
  <c r="R72" i="24"/>
  <c r="B15" i="24"/>
  <c r="S61" i="25"/>
  <c r="A20" i="25"/>
  <c r="C20" i="25" s="1"/>
  <c r="R61" i="24"/>
  <c r="W62" i="25"/>
  <c r="T69" i="25"/>
  <c r="V68" i="25"/>
  <c r="U68" i="25"/>
  <c r="I11" i="25"/>
  <c r="AA62" i="25" s="1"/>
  <c r="H11" i="25"/>
  <c r="Z62" i="25" s="1"/>
  <c r="A13" i="25"/>
  <c r="D11" i="25"/>
  <c r="E11" i="25" s="1"/>
  <c r="X62" i="25" s="1"/>
  <c r="AC62" i="25" s="1"/>
  <c r="J10" i="25"/>
  <c r="J9" i="25"/>
  <c r="AB11" i="25"/>
  <c r="AA11" i="25"/>
  <c r="B11" i="25"/>
  <c r="A10" i="25"/>
  <c r="A12" i="25"/>
  <c r="F11" i="25"/>
  <c r="G11" i="25" s="1"/>
  <c r="Y62" i="25" s="1"/>
  <c r="W66" i="25"/>
  <c r="AE66" i="25" s="1"/>
  <c r="S71" i="25"/>
  <c r="V61" i="25"/>
  <c r="U61" i="25"/>
  <c r="H19" i="25"/>
  <c r="Z70" i="25" s="1"/>
  <c r="I19" i="25"/>
  <c r="AA70" i="25" s="1"/>
  <c r="Q68" i="25"/>
  <c r="Q67" i="25"/>
  <c r="AD19" i="25"/>
  <c r="AC19" i="25"/>
  <c r="AA21" i="25"/>
  <c r="B21" i="25"/>
  <c r="AB21" i="25"/>
  <c r="T71" i="25"/>
  <c r="V70" i="25"/>
  <c r="U70" i="25"/>
  <c r="AC70" i="25" s="1"/>
  <c r="Q64" i="25"/>
  <c r="I15" i="25"/>
  <c r="AA66" i="25" s="1"/>
  <c r="H15" i="25"/>
  <c r="Z66" i="25" s="1"/>
  <c r="T65" i="25"/>
  <c r="V64" i="25"/>
  <c r="U64" i="25"/>
  <c r="F15" i="25"/>
  <c r="G15" i="25" s="1"/>
  <c r="Y66" i="25" s="1"/>
  <c r="A17" i="25"/>
  <c r="A16" i="25" s="1"/>
  <c r="AB15" i="25"/>
  <c r="D15" i="25"/>
  <c r="E15" i="25" s="1"/>
  <c r="X66" i="25" s="1"/>
  <c r="J13" i="25"/>
  <c r="AA15" i="25"/>
  <c r="B15" i="25"/>
  <c r="J12" i="25"/>
  <c r="T63" i="25"/>
  <c r="T67" i="25"/>
  <c r="W66" i="24"/>
  <c r="AE66" i="24" s="1"/>
  <c r="I15" i="24"/>
  <c r="AA66" i="24" s="1"/>
  <c r="H15" i="24"/>
  <c r="Z66" i="24" s="1"/>
  <c r="R71" i="24"/>
  <c r="S71" i="24"/>
  <c r="Q68" i="24"/>
  <c r="Q67" i="24" s="1"/>
  <c r="U62" i="24"/>
  <c r="T64" i="24"/>
  <c r="T63" i="24" s="1"/>
  <c r="V62" i="24"/>
  <c r="T61" i="24"/>
  <c r="AA11" i="24"/>
  <c r="A10" i="24"/>
  <c r="AB11" i="24"/>
  <c r="F11" i="24"/>
  <c r="G11" i="24" s="1"/>
  <c r="Y62" i="24" s="1"/>
  <c r="C11" i="24"/>
  <c r="A13" i="24"/>
  <c r="A12" i="24" s="1"/>
  <c r="D11" i="24"/>
  <c r="E11" i="24" s="1"/>
  <c r="X62" i="24" s="1"/>
  <c r="J10" i="24"/>
  <c r="J9" i="24"/>
  <c r="H19" i="24"/>
  <c r="Z70" i="24" s="1"/>
  <c r="I19" i="24"/>
  <c r="AA70" i="24" s="1"/>
  <c r="A17" i="24"/>
  <c r="A16" i="24" s="1"/>
  <c r="AB15" i="24"/>
  <c r="D15" i="24"/>
  <c r="E15" i="24" s="1"/>
  <c r="X66" i="24" s="1"/>
  <c r="AA15" i="24"/>
  <c r="J12" i="24"/>
  <c r="J13" i="24"/>
  <c r="F15" i="24"/>
  <c r="G15" i="24" s="1"/>
  <c r="Y66" i="24" s="1"/>
  <c r="A20" i="24"/>
  <c r="F19" i="24"/>
  <c r="G19" i="24" s="1"/>
  <c r="Y70" i="24" s="1"/>
  <c r="D19" i="24"/>
  <c r="E19" i="24" s="1"/>
  <c r="X70" i="24" s="1"/>
  <c r="J15" i="24"/>
  <c r="AB19" i="24"/>
  <c r="AA19" i="24"/>
  <c r="J16" i="24"/>
  <c r="AA21" i="24"/>
  <c r="C21" i="24"/>
  <c r="AB21" i="24"/>
  <c r="B19" i="24"/>
  <c r="Q64" i="24"/>
  <c r="T71" i="24"/>
  <c r="V70" i="24"/>
  <c r="U70" i="24"/>
  <c r="B11" i="24"/>
  <c r="T68" i="24"/>
  <c r="U72" i="23"/>
  <c r="V72" i="23"/>
  <c r="A13" i="23"/>
  <c r="B13" i="23" s="1"/>
  <c r="S72" i="23"/>
  <c r="Q71" i="23"/>
  <c r="S71" i="23" s="1"/>
  <c r="AD19" i="23"/>
  <c r="AD21" i="23"/>
  <c r="AC21" i="23"/>
  <c r="T71" i="23"/>
  <c r="H11" i="23"/>
  <c r="Z62" i="23" s="1"/>
  <c r="AD62" i="23" s="1"/>
  <c r="W70" i="23"/>
  <c r="R71" i="23"/>
  <c r="S67" i="23"/>
  <c r="R67" i="23"/>
  <c r="R64" i="23"/>
  <c r="S63" i="23"/>
  <c r="R63" i="23"/>
  <c r="AB10" i="23"/>
  <c r="AA10" i="23"/>
  <c r="C10" i="23"/>
  <c r="AC70" i="23"/>
  <c r="R61" i="23"/>
  <c r="S68" i="23"/>
  <c r="Q69" i="23"/>
  <c r="D15" i="23"/>
  <c r="E15" i="23" s="1"/>
  <c r="X66" i="23" s="1"/>
  <c r="AB15" i="23"/>
  <c r="A17" i="23"/>
  <c r="A16" i="23" s="1"/>
  <c r="AA15" i="23"/>
  <c r="J13" i="23"/>
  <c r="F15" i="23"/>
  <c r="G15" i="23" s="1"/>
  <c r="Y66" i="23" s="1"/>
  <c r="C15" i="23"/>
  <c r="J12" i="23"/>
  <c r="I19" i="23"/>
  <c r="AA70" i="23" s="1"/>
  <c r="H19" i="23"/>
  <c r="Z70" i="23" s="1"/>
  <c r="AB13" i="23"/>
  <c r="AA13" i="23"/>
  <c r="C13" i="23"/>
  <c r="D13" i="23"/>
  <c r="E13" i="23" s="1"/>
  <c r="X64" i="23" s="1"/>
  <c r="A14" i="23"/>
  <c r="F13" i="23"/>
  <c r="G13" i="23" s="1"/>
  <c r="Y64" i="23" s="1"/>
  <c r="V66" i="23"/>
  <c r="T64" i="23"/>
  <c r="U66" i="23"/>
  <c r="T68" i="23"/>
  <c r="AC62" i="23"/>
  <c r="B10" i="23"/>
  <c r="A12" i="23"/>
  <c r="AC11" i="23"/>
  <c r="AD11" i="23"/>
  <c r="S64" i="23"/>
  <c r="Q65" i="23"/>
  <c r="AD66" i="24" l="1"/>
  <c r="B20" i="25"/>
  <c r="AB20" i="25"/>
  <c r="AA20" i="25"/>
  <c r="AD70" i="24"/>
  <c r="AD62" i="25"/>
  <c r="AD66" i="25"/>
  <c r="AC66" i="25"/>
  <c r="AC66" i="24"/>
  <c r="F12" i="25"/>
  <c r="G12" i="25" s="1"/>
  <c r="Y63" i="25" s="1"/>
  <c r="AB12" i="25"/>
  <c r="D12" i="25"/>
  <c r="E12" i="25" s="1"/>
  <c r="X63" i="25" s="1"/>
  <c r="AA12" i="25"/>
  <c r="B12" i="25"/>
  <c r="C12" i="25"/>
  <c r="A14" i="25"/>
  <c r="F13" i="25"/>
  <c r="G13" i="25" s="1"/>
  <c r="Y64" i="25" s="1"/>
  <c r="B13" i="25"/>
  <c r="AB13" i="25"/>
  <c r="D13" i="25"/>
  <c r="E13" i="25" s="1"/>
  <c r="X64" i="25" s="1"/>
  <c r="AA13" i="25"/>
  <c r="C13" i="25"/>
  <c r="AD21" i="25"/>
  <c r="AC21" i="25"/>
  <c r="B10" i="25"/>
  <c r="AA10" i="25"/>
  <c r="AB10" i="25"/>
  <c r="C10" i="25"/>
  <c r="Q65" i="25"/>
  <c r="R64" i="25"/>
  <c r="S64" i="25"/>
  <c r="Q63" i="25"/>
  <c r="AD20" i="25"/>
  <c r="AC20" i="25"/>
  <c r="AC11" i="25"/>
  <c r="AD11" i="25"/>
  <c r="AD15" i="25"/>
  <c r="AC15" i="25"/>
  <c r="W64" i="25"/>
  <c r="V65" i="25"/>
  <c r="U65" i="25"/>
  <c r="AD70" i="25"/>
  <c r="W70" i="25"/>
  <c r="W68" i="25"/>
  <c r="V67" i="25"/>
  <c r="U67" i="25"/>
  <c r="V71" i="25"/>
  <c r="U71" i="25"/>
  <c r="S67" i="25"/>
  <c r="R67" i="25"/>
  <c r="V69" i="25"/>
  <c r="U69" i="25"/>
  <c r="F16" i="25"/>
  <c r="G16" i="25" s="1"/>
  <c r="Y67" i="25" s="1"/>
  <c r="AB16" i="25"/>
  <c r="D16" i="25"/>
  <c r="E16" i="25" s="1"/>
  <c r="X67" i="25" s="1"/>
  <c r="AA16" i="25"/>
  <c r="C16" i="25"/>
  <c r="B16" i="25"/>
  <c r="V63" i="25"/>
  <c r="U63" i="25"/>
  <c r="AA17" i="25"/>
  <c r="B17" i="25"/>
  <c r="A18" i="25"/>
  <c r="F17" i="25"/>
  <c r="G17" i="25" s="1"/>
  <c r="Y68" i="25" s="1"/>
  <c r="AB17" i="25"/>
  <c r="D17" i="25"/>
  <c r="E17" i="25" s="1"/>
  <c r="X68" i="25" s="1"/>
  <c r="C17" i="25"/>
  <c r="Q69" i="25"/>
  <c r="R68" i="25"/>
  <c r="S68" i="25"/>
  <c r="W70" i="24"/>
  <c r="F12" i="24"/>
  <c r="G12" i="24" s="1"/>
  <c r="Y63" i="24" s="1"/>
  <c r="AB12" i="24"/>
  <c r="D12" i="24"/>
  <c r="E12" i="24" s="1"/>
  <c r="X63" i="24" s="1"/>
  <c r="AA12" i="24"/>
  <c r="B12" i="24"/>
  <c r="C12" i="24"/>
  <c r="S67" i="24"/>
  <c r="R67" i="24"/>
  <c r="AC62" i="24"/>
  <c r="W62" i="24"/>
  <c r="V71" i="24"/>
  <c r="U71" i="24"/>
  <c r="AD19" i="24"/>
  <c r="AC19" i="24"/>
  <c r="F16" i="24"/>
  <c r="G16" i="24" s="1"/>
  <c r="Y67" i="24" s="1"/>
  <c r="AB16" i="24"/>
  <c r="D16" i="24"/>
  <c r="E16" i="24" s="1"/>
  <c r="X67" i="24" s="1"/>
  <c r="AA16" i="24"/>
  <c r="B16" i="24"/>
  <c r="C16" i="24"/>
  <c r="C10" i="24"/>
  <c r="AB10" i="24"/>
  <c r="AA10" i="24"/>
  <c r="B10" i="24"/>
  <c r="V63" i="24"/>
  <c r="U63" i="24"/>
  <c r="Q65" i="24"/>
  <c r="R64" i="24"/>
  <c r="S64" i="24"/>
  <c r="Q63" i="24"/>
  <c r="AD11" i="24"/>
  <c r="AC11" i="24"/>
  <c r="Q69" i="24"/>
  <c r="S68" i="24"/>
  <c r="R68" i="24"/>
  <c r="AD15" i="24"/>
  <c r="AC15" i="24"/>
  <c r="A14" i="24"/>
  <c r="F13" i="24"/>
  <c r="G13" i="24" s="1"/>
  <c r="Y64" i="24" s="1"/>
  <c r="AB13" i="24"/>
  <c r="D13" i="24"/>
  <c r="E13" i="24" s="1"/>
  <c r="X64" i="24" s="1"/>
  <c r="AA13" i="24"/>
  <c r="B13" i="24"/>
  <c r="C13" i="24"/>
  <c r="V61" i="24"/>
  <c r="U61" i="24"/>
  <c r="T69" i="24"/>
  <c r="V68" i="24"/>
  <c r="U68" i="24"/>
  <c r="T67" i="24"/>
  <c r="I11" i="24"/>
  <c r="AA62" i="24" s="1"/>
  <c r="H11" i="24"/>
  <c r="Z62" i="24" s="1"/>
  <c r="AD62" i="24" s="1"/>
  <c r="AC70" i="24"/>
  <c r="AD21" i="24"/>
  <c r="AC21" i="24"/>
  <c r="AB20" i="24"/>
  <c r="B20" i="24"/>
  <c r="AA20" i="24"/>
  <c r="C20" i="24"/>
  <c r="AA17" i="24"/>
  <c r="A18" i="24"/>
  <c r="F17" i="24"/>
  <c r="G17" i="24" s="1"/>
  <c r="Y68" i="24" s="1"/>
  <c r="D17" i="24"/>
  <c r="E17" i="24" s="1"/>
  <c r="X68" i="24" s="1"/>
  <c r="AB17" i="24"/>
  <c r="B17" i="24"/>
  <c r="C17" i="24"/>
  <c r="T65" i="24"/>
  <c r="V64" i="24"/>
  <c r="U64" i="24"/>
  <c r="AD70" i="23"/>
  <c r="V71" i="23"/>
  <c r="U71" i="23"/>
  <c r="AC66" i="23"/>
  <c r="AA16" i="23"/>
  <c r="C16" i="23"/>
  <c r="D16" i="23"/>
  <c r="E16" i="23" s="1"/>
  <c r="X67" i="23" s="1"/>
  <c r="AB16" i="23"/>
  <c r="F16" i="23"/>
  <c r="G16" i="23" s="1"/>
  <c r="Y67" i="23" s="1"/>
  <c r="B16" i="23"/>
  <c r="S65" i="23"/>
  <c r="R65" i="23"/>
  <c r="W66" i="23"/>
  <c r="AE66" i="23" s="1"/>
  <c r="I13" i="23"/>
  <c r="AA64" i="23" s="1"/>
  <c r="H13" i="23"/>
  <c r="Z64" i="23" s="1"/>
  <c r="U64" i="23"/>
  <c r="AC64" i="23" s="1"/>
  <c r="V64" i="23"/>
  <c r="T65" i="23"/>
  <c r="T63" i="23"/>
  <c r="AD10" i="23"/>
  <c r="AC10" i="23"/>
  <c r="T69" i="23"/>
  <c r="V68" i="23"/>
  <c r="U68" i="23"/>
  <c r="D12" i="23"/>
  <c r="E12" i="23" s="1"/>
  <c r="X63" i="23" s="1"/>
  <c r="AA12" i="23"/>
  <c r="C12" i="23"/>
  <c r="F12" i="23"/>
  <c r="G12" i="23" s="1"/>
  <c r="Y63" i="23" s="1"/>
  <c r="AB12" i="23"/>
  <c r="B12" i="23"/>
  <c r="AD15" i="23"/>
  <c r="AC15" i="23"/>
  <c r="AC13" i="23"/>
  <c r="AD13" i="23"/>
  <c r="F14" i="23"/>
  <c r="G14" i="23" s="1"/>
  <c r="Y65" i="23" s="1"/>
  <c r="AA14" i="23"/>
  <c r="C14" i="23"/>
  <c r="D14" i="23"/>
  <c r="E14" i="23" s="1"/>
  <c r="X65" i="23" s="1"/>
  <c r="AB14" i="23"/>
  <c r="B14" i="23"/>
  <c r="I15" i="23"/>
  <c r="AA66" i="23" s="1"/>
  <c r="H15" i="23"/>
  <c r="Z66" i="23" s="1"/>
  <c r="S69" i="23"/>
  <c r="R69" i="23"/>
  <c r="D17" i="23"/>
  <c r="E17" i="23" s="1"/>
  <c r="X68" i="23" s="1"/>
  <c r="AA17" i="23"/>
  <c r="F17" i="23"/>
  <c r="G17" i="23" s="1"/>
  <c r="Y68" i="23" s="1"/>
  <c r="A18" i="23"/>
  <c r="C17" i="23"/>
  <c r="AB17" i="23"/>
  <c r="B17" i="23"/>
  <c r="T67" i="23"/>
  <c r="AD66" i="23" l="1"/>
  <c r="AC64" i="25"/>
  <c r="AC63" i="24"/>
  <c r="AC68" i="25"/>
  <c r="AC63" i="25"/>
  <c r="AC64" i="24"/>
  <c r="W63" i="25"/>
  <c r="H16" i="25"/>
  <c r="Z67" i="25" s="1"/>
  <c r="AD67" i="25" s="1"/>
  <c r="I16" i="25"/>
  <c r="AA67" i="25" s="1"/>
  <c r="AB14" i="25"/>
  <c r="D14" i="25"/>
  <c r="E14" i="25" s="1"/>
  <c r="X65" i="25" s="1"/>
  <c r="AA14" i="25"/>
  <c r="F14" i="25"/>
  <c r="G14" i="25" s="1"/>
  <c r="Y65" i="25" s="1"/>
  <c r="C14" i="25"/>
  <c r="B14" i="25"/>
  <c r="D18" i="25"/>
  <c r="E18" i="25" s="1"/>
  <c r="X69" i="25" s="1"/>
  <c r="AB18" i="25"/>
  <c r="AA18" i="25"/>
  <c r="F18" i="25"/>
  <c r="G18" i="25" s="1"/>
  <c r="Y69" i="25" s="1"/>
  <c r="B18" i="25"/>
  <c r="C18" i="25"/>
  <c r="AD16" i="25"/>
  <c r="AC16" i="25"/>
  <c r="R65" i="25"/>
  <c r="S65" i="25"/>
  <c r="H12" i="25"/>
  <c r="Z63" i="25" s="1"/>
  <c r="I12" i="25"/>
  <c r="AA63" i="25" s="1"/>
  <c r="I13" i="25"/>
  <c r="AA64" i="25" s="1"/>
  <c r="H13" i="25"/>
  <c r="Z64" i="25" s="1"/>
  <c r="AD17" i="25"/>
  <c r="AC17" i="25"/>
  <c r="AD13" i="25"/>
  <c r="AC13" i="25"/>
  <c r="AD12" i="25"/>
  <c r="AC12" i="25"/>
  <c r="R69" i="25"/>
  <c r="S69" i="25"/>
  <c r="AC67" i="25"/>
  <c r="I17" i="25"/>
  <c r="AA68" i="25" s="1"/>
  <c r="H17" i="25"/>
  <c r="Z68" i="25" s="1"/>
  <c r="W69" i="25"/>
  <c r="W65" i="25"/>
  <c r="AD10" i="25"/>
  <c r="AC10" i="25"/>
  <c r="W67" i="25"/>
  <c r="R63" i="25"/>
  <c r="S63" i="25"/>
  <c r="W68" i="24"/>
  <c r="AB18" i="24"/>
  <c r="D18" i="24"/>
  <c r="E18" i="24" s="1"/>
  <c r="X69" i="24" s="1"/>
  <c r="AA18" i="24"/>
  <c r="F18" i="24"/>
  <c r="G18" i="24" s="1"/>
  <c r="Y69" i="24" s="1"/>
  <c r="B18" i="24"/>
  <c r="C18" i="24"/>
  <c r="V69" i="24"/>
  <c r="U69" i="24"/>
  <c r="AB14" i="24"/>
  <c r="B14" i="24"/>
  <c r="F14" i="24"/>
  <c r="G14" i="24" s="1"/>
  <c r="Y65" i="24" s="1"/>
  <c r="AA14" i="24"/>
  <c r="D14" i="24"/>
  <c r="E14" i="24" s="1"/>
  <c r="X65" i="24" s="1"/>
  <c r="C14" i="24"/>
  <c r="AD10" i="24"/>
  <c r="AC10" i="24"/>
  <c r="V65" i="24"/>
  <c r="U65" i="24"/>
  <c r="I12" i="24"/>
  <c r="AA63" i="24" s="1"/>
  <c r="H12" i="24"/>
  <c r="Z63" i="24" s="1"/>
  <c r="W64" i="24"/>
  <c r="AD17" i="24"/>
  <c r="AC17" i="24"/>
  <c r="R63" i="24"/>
  <c r="S63" i="24"/>
  <c r="AD20" i="24"/>
  <c r="AC20" i="24"/>
  <c r="I13" i="24"/>
  <c r="AA64" i="24" s="1"/>
  <c r="H13" i="24"/>
  <c r="Z64" i="24" s="1"/>
  <c r="H17" i="24"/>
  <c r="Z68" i="24" s="1"/>
  <c r="I17" i="24"/>
  <c r="AA68" i="24" s="1"/>
  <c r="V67" i="24"/>
  <c r="U67" i="24"/>
  <c r="AC67" i="24" s="1"/>
  <c r="R65" i="24"/>
  <c r="S65" i="24"/>
  <c r="H16" i="24"/>
  <c r="Z67" i="24" s="1"/>
  <c r="I16" i="24"/>
  <c r="AA67" i="24" s="1"/>
  <c r="AC12" i="24"/>
  <c r="AD12" i="24"/>
  <c r="AC68" i="24"/>
  <c r="AD13" i="24"/>
  <c r="AC13" i="24"/>
  <c r="W63" i="24"/>
  <c r="R69" i="24"/>
  <c r="S69" i="24"/>
  <c r="AD16" i="24"/>
  <c r="AC16" i="24"/>
  <c r="AD64" i="23"/>
  <c r="W64" i="23"/>
  <c r="I17" i="23"/>
  <c r="AA68" i="23" s="1"/>
  <c r="H17" i="23"/>
  <c r="Z68" i="23" s="1"/>
  <c r="AD12" i="23"/>
  <c r="AC12" i="23"/>
  <c r="U63" i="23"/>
  <c r="AC63" i="23" s="1"/>
  <c r="V63" i="23"/>
  <c r="AC68" i="23"/>
  <c r="W68" i="23"/>
  <c r="V65" i="23"/>
  <c r="U65" i="23"/>
  <c r="AC65" i="23" s="1"/>
  <c r="AD17" i="23"/>
  <c r="AC17" i="23"/>
  <c r="H14" i="23"/>
  <c r="Z65" i="23" s="1"/>
  <c r="I14" i="23"/>
  <c r="AA65" i="23" s="1"/>
  <c r="U67" i="23"/>
  <c r="AC67" i="23" s="1"/>
  <c r="V67" i="23"/>
  <c r="AC14" i="23"/>
  <c r="AD14" i="23"/>
  <c r="U69" i="23"/>
  <c r="V69" i="23"/>
  <c r="AA18" i="23"/>
  <c r="D18" i="23"/>
  <c r="E18" i="23" s="1"/>
  <c r="X69" i="23" s="1"/>
  <c r="C18" i="23"/>
  <c r="F18" i="23"/>
  <c r="G18" i="23" s="1"/>
  <c r="Y69" i="23" s="1"/>
  <c r="AB18" i="23"/>
  <c r="B18" i="23"/>
  <c r="I16" i="23"/>
  <c r="AA67" i="23" s="1"/>
  <c r="H16" i="23"/>
  <c r="Z67" i="23" s="1"/>
  <c r="H12" i="23"/>
  <c r="Z63" i="23" s="1"/>
  <c r="I12" i="23"/>
  <c r="AA63" i="23" s="1"/>
  <c r="AD16" i="23"/>
  <c r="AC16" i="23"/>
  <c r="AD64" i="24" l="1"/>
  <c r="AD63" i="25"/>
  <c r="AC65" i="25"/>
  <c r="AC69" i="25"/>
  <c r="AD68" i="23"/>
  <c r="AD64" i="25"/>
  <c r="AD63" i="24"/>
  <c r="AD68" i="24"/>
  <c r="I14" i="25"/>
  <c r="AA65" i="25" s="1"/>
  <c r="H14" i="25"/>
  <c r="Z65" i="25" s="1"/>
  <c r="I18" i="25"/>
  <c r="AA69" i="25" s="1"/>
  <c r="H18" i="25"/>
  <c r="Z69" i="25" s="1"/>
  <c r="AC14" i="25"/>
  <c r="AD14" i="25"/>
  <c r="AD68" i="25"/>
  <c r="AD18" i="25"/>
  <c r="AC18" i="25"/>
  <c r="W69" i="24"/>
  <c r="I14" i="24"/>
  <c r="AA65" i="24" s="1"/>
  <c r="H14" i="24"/>
  <c r="Z65" i="24" s="1"/>
  <c r="AC65" i="24"/>
  <c r="I18" i="24"/>
  <c r="AA69" i="24" s="1"/>
  <c r="H18" i="24"/>
  <c r="Z69" i="24" s="1"/>
  <c r="AD67" i="24"/>
  <c r="AD18" i="24"/>
  <c r="AC18" i="24"/>
  <c r="W67" i="24"/>
  <c r="W65" i="24"/>
  <c r="AD14" i="24"/>
  <c r="AC14" i="24"/>
  <c r="AC69" i="24"/>
  <c r="AD63" i="23"/>
  <c r="AC69" i="23"/>
  <c r="W63" i="23"/>
  <c r="AD67" i="23"/>
  <c r="W65" i="23"/>
  <c r="I18" i="23"/>
  <c r="AA69" i="23" s="1"/>
  <c r="H18" i="23"/>
  <c r="Z69" i="23" s="1"/>
  <c r="W67" i="23"/>
  <c r="AD65" i="23"/>
  <c r="AC18" i="23"/>
  <c r="AD18" i="23"/>
  <c r="W69" i="23"/>
  <c r="AD69" i="23" l="1"/>
  <c r="AD69" i="24"/>
  <c r="AD65" i="24"/>
  <c r="AD69" i="25"/>
  <c r="AD65" i="25"/>
</calcChain>
</file>

<file path=xl/sharedStrings.xml><?xml version="1.0" encoding="utf-8"?>
<sst xmlns="http://schemas.openxmlformats.org/spreadsheetml/2006/main" count="2066" uniqueCount="211">
  <si>
    <t>BRAND</t>
  </si>
  <si>
    <t>NUM_STAGES</t>
  </si>
  <si>
    <t>CH1</t>
  </si>
  <si>
    <t>CH2</t>
  </si>
  <si>
    <t>CH3</t>
  </si>
  <si>
    <t>CH4</t>
  </si>
  <si>
    <t>CH5</t>
  </si>
  <si>
    <t>CH6</t>
  </si>
  <si>
    <t>CP1</t>
  </si>
  <si>
    <t>CP2</t>
  </si>
  <si>
    <t>CP3</t>
  </si>
  <si>
    <t>CP4</t>
  </si>
  <si>
    <t>CP5</t>
  </si>
  <si>
    <t>CP6</t>
  </si>
  <si>
    <t>SERIES</t>
  </si>
  <si>
    <t>STAGE NAME</t>
  </si>
  <si>
    <t>SHAFT DIA.</t>
  </si>
  <si>
    <t>STANDARD
SHAFT HP
HP/3500rpm</t>
  </si>
  <si>
    <t>HIGH STRENGTH
SHAFT HP
HP/3500rpm</t>
  </si>
  <si>
    <t>ULTRA HIGH STRENGTH
SHAFT HP
HP/3500rpm</t>
  </si>
  <si>
    <t>HOUSING BURST PRESSURE
[PSI]</t>
  </si>
  <si>
    <t>HOUSING OD</t>
  </si>
  <si>
    <t>TDH
at no flow [ft]</t>
  </si>
  <si>
    <t xml:space="preserve"> min recom.
FLOW
[BPD]</t>
  </si>
  <si>
    <t>TDH
at min. flow
[ft]</t>
  </si>
  <si>
    <t>BHP
at min. flow [HP]</t>
  </si>
  <si>
    <t>BHP
at no flow [HP]</t>
  </si>
  <si>
    <t>Flow at
BEP
[BPD]</t>
  </si>
  <si>
    <t>TDH
at BEP
[ft]</t>
  </si>
  <si>
    <t>BHP
at BEP
[HP]</t>
  </si>
  <si>
    <t>eff.
at BEP
[%]</t>
  </si>
  <si>
    <t xml:space="preserve"> max recom.
FLOW
[BPD]</t>
  </si>
  <si>
    <t>TDH
at max.
flow
[ft]</t>
  </si>
  <si>
    <t>BHP
at max
flow
[HP]</t>
  </si>
  <si>
    <t>Max Curve
Rate
[BPD]</t>
  </si>
  <si>
    <t>COMMENTS:</t>
  </si>
  <si>
    <t>Max THRUST
at no flow per stage
[lbf]</t>
  </si>
  <si>
    <t>STAGE
TYPE</t>
  </si>
  <si>
    <t xml:space="preserve">HEAD COEFFICIENTS for ONE STAGE
based on operating speed of 3500[rpm], SG=1, viscosity 1cP,
FLOW in [BPD] as a variable for HEAD calculation </t>
  </si>
  <si>
    <t xml:space="preserve">BHP COEFFICIENTS for ONE STAGE
based on operating speed of 3500[rpm], SG=1, viscosity 1cP,
FLOW in [BPD] as a variable for BHP calculation </t>
  </si>
  <si>
    <t>CT1</t>
  </si>
  <si>
    <t>CT2</t>
  </si>
  <si>
    <t>CT3</t>
  </si>
  <si>
    <t>CT4</t>
  </si>
  <si>
    <t>CT5</t>
  </si>
  <si>
    <t>CT6</t>
  </si>
  <si>
    <t xml:space="preserve">THRUST COEFFICIENTS for ONE STAGE
based on operating speed of 3500[rpm], SG=1, viscosity 1cP,
FLOW in [BPD] as a variable for THRUST [lbf] calculation </t>
  </si>
  <si>
    <t>Kq1</t>
  </si>
  <si>
    <t>Kq2</t>
  </si>
  <si>
    <t>Kq3</t>
  </si>
  <si>
    <t>Kq4</t>
  </si>
  <si>
    <t>Kq5</t>
  </si>
  <si>
    <t>Kq6</t>
  </si>
  <si>
    <t>Kh1</t>
  </si>
  <si>
    <t>Kh2</t>
  </si>
  <si>
    <t>Kh3</t>
  </si>
  <si>
    <t>Kh4</t>
  </si>
  <si>
    <t>Kh5</t>
  </si>
  <si>
    <t>Kh6</t>
  </si>
  <si>
    <t>Kp1</t>
  </si>
  <si>
    <t>Kp2</t>
  </si>
  <si>
    <t>Kp3</t>
  </si>
  <si>
    <t>Kp4</t>
  </si>
  <si>
    <t>Kp5</t>
  </si>
  <si>
    <t>Kp6</t>
  </si>
  <si>
    <t>NPSHr [ft]
3500 rpm
SG=1</t>
  </si>
  <si>
    <t>VOLUME CORRECTION POLINOMIAL
AS A FUNCTION OF VISCOSITY (cP)
max 200cP</t>
  </si>
  <si>
    <t>HEAD CORRECTION POLINOMIAL
AS A FUNCTION OF VISCOSITY (cP)
max. 200cP</t>
  </si>
  <si>
    <t>BHP CORRECTION POLINOMIAL
AS A FUNCTION OF VISCOSITY (cP)
max. 200cP</t>
  </si>
  <si>
    <t>COMMENTS</t>
  </si>
  <si>
    <t>FLOW</t>
  </si>
  <si>
    <t>bpd</t>
  </si>
  <si>
    <t>TDH</t>
  </si>
  <si>
    <t>ft</t>
  </si>
  <si>
    <t>POWER</t>
  </si>
  <si>
    <t>hp</t>
  </si>
  <si>
    <t>catalog curve</t>
  </si>
  <si>
    <t>API limits</t>
  </si>
  <si>
    <t>FLOW -5%</t>
  </si>
  <si>
    <t>TDH -5%</t>
  </si>
  <si>
    <t>FLOW +5%</t>
  </si>
  <si>
    <t>TDH +5%</t>
  </si>
  <si>
    <t>POWER -8%</t>
  </si>
  <si>
    <t>POWER +8%</t>
  </si>
  <si>
    <t>API limits curves generator</t>
  </si>
  <si>
    <t>TDH upper limit
for flow from columne A</t>
  </si>
  <si>
    <t>TDH lower limit
for flow from columne A</t>
  </si>
  <si>
    <t>corrected to 3500rpm, SG=1</t>
  </si>
  <si>
    <t>test curve</t>
  </si>
  <si>
    <t>kW</t>
  </si>
  <si>
    <t>test curve from coeff.</t>
  </si>
  <si>
    <t>EFF (-10%)</t>
  </si>
  <si>
    <t>%</t>
  </si>
  <si>
    <t>EFFICIENCY</t>
  </si>
  <si>
    <t>TEST RESULTS PER CATEGORY</t>
  </si>
  <si>
    <t>minimum</t>
  </si>
  <si>
    <t>BEP</t>
  </si>
  <si>
    <t>maximum</t>
  </si>
  <si>
    <t>min</t>
  </si>
  <si>
    <t>max</t>
  </si>
  <si>
    <t>modified from last catalog</t>
  </si>
  <si>
    <t>new stage</t>
  </si>
  <si>
    <t>NUMBER
STAGES</t>
  </si>
  <si>
    <t>TDH0</t>
  </si>
  <si>
    <t>BHP0</t>
  </si>
  <si>
    <t>BPDMIN</t>
  </si>
  <si>
    <t>TDHMIN</t>
  </si>
  <si>
    <t>BHPMIN</t>
  </si>
  <si>
    <t>BPDBEP</t>
  </si>
  <si>
    <t>TDHBEP</t>
  </si>
  <si>
    <t>BHPBEP</t>
  </si>
  <si>
    <t>BPDMAX</t>
  </si>
  <si>
    <t>TDHMAX</t>
  </si>
  <si>
    <t>BHPMAX</t>
  </si>
  <si>
    <t>TEST BENCH SETTING</t>
  </si>
  <si>
    <t>FLOWLENGTH</t>
  </si>
  <si>
    <t>HEADLENGTH</t>
  </si>
  <si>
    <t>THRUSTLENGTH</t>
  </si>
  <si>
    <t>HPLENGTH</t>
  </si>
  <si>
    <t>EFFLENGTH</t>
  </si>
  <si>
    <t>FLOWTICK</t>
  </si>
  <si>
    <t>HEADTICK</t>
  </si>
  <si>
    <t>THRUSTTICK</t>
  </si>
  <si>
    <t>HPTICK</t>
  </si>
  <si>
    <t>EFFTICK</t>
  </si>
  <si>
    <t>PER_STAGE</t>
  </si>
  <si>
    <t>Kp</t>
  </si>
  <si>
    <t>Kh</t>
  </si>
  <si>
    <t>Kq</t>
  </si>
  <si>
    <t>FLOWMIN</t>
  </si>
  <si>
    <t>FLOWMINPERC</t>
  </si>
  <si>
    <t>FLOWMAX</t>
  </si>
  <si>
    <t>FLOWMAXPERC</t>
  </si>
  <si>
    <t>efficiency</t>
  </si>
  <si>
    <t>CAI test</t>
  </si>
  <si>
    <t>EFF</t>
  </si>
  <si>
    <t>ODI</t>
  </si>
  <si>
    <t>RC12</t>
  </si>
  <si>
    <t>ODI RC12 400 series stage</t>
  </si>
  <si>
    <t>PRESSURE</t>
  </si>
  <si>
    <t>m3/d</t>
  </si>
  <si>
    <t>MPa</t>
  </si>
  <si>
    <t>TEST SPEED</t>
  </si>
  <si>
    <t>rpm</t>
  </si>
  <si>
    <t>TORQUE</t>
  </si>
  <si>
    <t>Nm</t>
  </si>
  <si>
    <t>HP supplied</t>
  </si>
  <si>
    <t>HP alarm</t>
  </si>
  <si>
    <t>Test data provided by PREMIER</t>
  </si>
  <si>
    <t>test data for #stages</t>
  </si>
  <si>
    <t>SG</t>
  </si>
  <si>
    <t>HP calculated</t>
  </si>
  <si>
    <t>for 0.1% difference</t>
  </si>
  <si>
    <t>FLOW calculated</t>
  </si>
  <si>
    <t>FLOW provided</t>
  </si>
  <si>
    <t>FLOW alarm</t>
  </si>
  <si>
    <t>TDH calculated</t>
  </si>
  <si>
    <t>TDH provided</t>
  </si>
  <si>
    <t>TDH alarm</t>
  </si>
  <si>
    <t>HP</t>
  </si>
  <si>
    <t>POWER calculated</t>
  </si>
  <si>
    <t>POWER provided</t>
  </si>
  <si>
    <t>POWER alarm</t>
  </si>
  <si>
    <t>for 0.5% difference</t>
  </si>
  <si>
    <t>test coefficients (bpd, ft, HP corrected to 3500rpm) from best fit for cctd test data provided by PREMIER</t>
  </si>
  <si>
    <t>RC12 "A" 26.2mm</t>
  </si>
  <si>
    <t>RC12 "B" ORIGINAL LENGTH</t>
  </si>
  <si>
    <t>RC12 "C" 25.6mm</t>
  </si>
  <si>
    <t>catalog curve TDH</t>
  </si>
  <si>
    <t>RC12 "A" 26.2mm TDH</t>
  </si>
  <si>
    <t>RC12 "B" ORIGINAL LENGTH TDH</t>
  </si>
  <si>
    <t>RC12 "C" 25.6mm TDH</t>
  </si>
  <si>
    <t>catalog curve POWER</t>
  </si>
  <si>
    <t>RC12 "A" 26.2mm POWER</t>
  </si>
  <si>
    <t>RC12 "B" ORIGINAL LENGTH POWER</t>
  </si>
  <si>
    <t>RC12 "C" 25.6mm POWER</t>
  </si>
  <si>
    <t>catalog curve EFF</t>
  </si>
  <si>
    <t>RC12 "A" 26.2mm EFF</t>
  </si>
  <si>
    <t>RC12 "B" ORIGINAL LENGTH EFF</t>
  </si>
  <si>
    <t>RC12 "C" 25.6mm EFF</t>
  </si>
  <si>
    <t>OD test</t>
  </si>
  <si>
    <t>OD test coefficients</t>
  </si>
  <si>
    <t>CF0</t>
  </si>
  <si>
    <t>CF1</t>
  </si>
  <si>
    <t>CF2</t>
  </si>
  <si>
    <t>CF3</t>
  </si>
  <si>
    <t>CF4</t>
  </si>
  <si>
    <t>CF5</t>
  </si>
  <si>
    <t>CP0</t>
  </si>
  <si>
    <t>CH0</t>
  </si>
  <si>
    <r>
      <t xml:space="preserve">corrected to 3500rpm, SG=1 and 1 stage  </t>
    </r>
    <r>
      <rPr>
        <b/>
        <sz val="10"/>
        <color rgb="FFFF0000"/>
        <rFont val="MS Sans Serif"/>
      </rPr>
      <t>(Substract 0.135MPa for Intake Pressure in HEAD calculations if ditailed intake pressure is not provided)</t>
    </r>
  </si>
  <si>
    <t>RC12 final test July 26</t>
  </si>
  <si>
    <t>RC12 final EFF</t>
  </si>
  <si>
    <t>RC12 final POWER</t>
  </si>
  <si>
    <t>RC12 final TDH</t>
  </si>
  <si>
    <t xml:space="preserve">OD </t>
  </si>
  <si>
    <t>538-KOMP</t>
  </si>
  <si>
    <t>PREMIER test curve from coeff.</t>
  </si>
  <si>
    <t>PREMIER test points</t>
  </si>
  <si>
    <t>OD test from coefficients</t>
  </si>
  <si>
    <t>OD 538-KOMP 538 series stage 538COM902073 vs. original Centrilift coefficients</t>
  </si>
  <si>
    <t>OD 538-KOMP 538 series stage 538COM902073 vs. Oil Dynamics coefficients</t>
  </si>
  <si>
    <t>OD 538-4000R-F 538 series stage 538PUM902462 vs. Oil Dynamics coefficients</t>
  </si>
  <si>
    <t>OD 538-5500R-F 538 series stage 538PUM902481 vs. Oil Dynamics coefficients</t>
  </si>
  <si>
    <t>OD 400-KOMP 538 series stage 538COM902068 vs. original Centrilift coefficients</t>
  </si>
  <si>
    <t>OD 400-900R-F 400 series stage 400PUM902275 vs. Oil Dynamics coefficients</t>
  </si>
  <si>
    <t>OD 400-KOMP 400 series stage 400COM902068 vs. Oil Dynamics coefficients</t>
  </si>
  <si>
    <t>OD 400-1200R-F 400 series stage 400COM902255 vs. Oil Dynamics coefficients</t>
  </si>
  <si>
    <t>Centrilift</t>
  </si>
  <si>
    <t>538NPSH</t>
  </si>
  <si>
    <t>538-5500R-F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</si>
</sst>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0E+00"/>
    <numFmt numFmtId="166" formatCode="0.000"/>
    <numFmt numFmtId="167" formatCode="0.0"/>
  </numFmts>
  <fonts count="24" x14ac:knownFonts="1">
    <font>
      <sz val="10"/>
      <name val="MS Sans Serif"/>
    </font>
    <font>
      <b/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sz val="10"/>
      <color indexed="10"/>
      <name val="MS Sans Serif"/>
      <family val="2"/>
    </font>
    <font>
      <b/>
      <sz val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b/>
      <sz val="24"/>
      <name val="MS Sans Serif"/>
      <family val="2"/>
    </font>
    <font>
      <b/>
      <sz val="10"/>
      <color rgb="FF00B050"/>
      <name val="MS Sans Serif"/>
    </font>
    <font>
      <b/>
      <sz val="10"/>
      <color rgb="FFFF0000"/>
      <name val="MS Sans Serif"/>
    </font>
    <font>
      <sz val="10"/>
      <color rgb="FFFF0000"/>
      <name val="MS Sans Serif"/>
    </font>
    <font>
      <b/>
      <sz val="24"/>
      <name val="MS Sans Serif"/>
      <family val="2"/>
    </font>
    <font>
      <sz val="10"/>
      <name val="MS Sans Serif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MS Sans Serif"/>
    </font>
    <font>
      <b/>
      <sz val="10"/>
      <color rgb="FF00B050"/>
      <name val="MS Sans Serif"/>
    </font>
    <font>
      <b/>
      <sz val="10"/>
      <color rgb="FFFF0000"/>
      <name val="MS Sans Serif"/>
    </font>
    <font>
      <b/>
      <sz val="10"/>
      <color indexed="10"/>
      <name val="MS Sans Serif"/>
      <family val="2"/>
    </font>
    <font>
      <sz val="12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41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4" fillId="0" borderId="0" xfId="0" applyNumberFormat="1" applyFont="1" applyFill="1" applyBorder="1"/>
    <xf numFmtId="1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0" fillId="0" borderId="3" xfId="0" quotePrefix="1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 wrapText="1"/>
    </xf>
    <xf numFmtId="164" fontId="0" fillId="0" borderId="3" xfId="0" quotePrefix="1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1" fontId="0" fillId="0" borderId="3" xfId="0" quotePrefix="1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1" fontId="0" fillId="0" borderId="3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165" fontId="0" fillId="0" borderId="3" xfId="0" quotePrefix="1" applyNumberFormat="1" applyBorder="1" applyAlignment="1">
      <alignment horizontal="center"/>
    </xf>
    <xf numFmtId="165" fontId="6" fillId="0" borderId="1" xfId="0" applyNumberFormat="1" applyFont="1" applyFill="1" applyBorder="1"/>
    <xf numFmtId="0" fontId="6" fillId="0" borderId="1" xfId="0" applyFont="1" applyFill="1" applyBorder="1"/>
    <xf numFmtId="165" fontId="7" fillId="0" borderId="1" xfId="0" applyNumberFormat="1" applyFont="1" applyFill="1" applyBorder="1"/>
    <xf numFmtId="0" fontId="7" fillId="0" borderId="0" xfId="0" applyFont="1" applyFill="1"/>
    <xf numFmtId="0" fontId="7" fillId="0" borderId="1" xfId="0" quotePrefix="1" applyNumberFormat="1" applyFont="1" applyFill="1" applyBorder="1"/>
    <xf numFmtId="0" fontId="7" fillId="0" borderId="1" xfId="0" quotePrefix="1" applyNumberFormat="1" applyFont="1" applyFill="1" applyBorder="1" applyAlignment="1">
      <alignment horizontal="center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center"/>
    </xf>
    <xf numFmtId="164" fontId="7" fillId="0" borderId="1" xfId="0" quotePrefix="1" applyNumberFormat="1" applyFont="1" applyFill="1" applyBorder="1"/>
    <xf numFmtId="1" fontId="7" fillId="0" borderId="1" xfId="0" quotePrefix="1" applyNumberFormat="1" applyFont="1" applyFill="1" applyBorder="1"/>
    <xf numFmtId="167" fontId="7" fillId="0" borderId="1" xfId="0" quotePrefix="1" applyNumberFormat="1" applyFont="1" applyFill="1" applyBorder="1" applyAlignment="1">
      <alignment horizontal="center"/>
    </xf>
    <xf numFmtId="11" fontId="7" fillId="0" borderId="1" xfId="0" applyNumberFormat="1" applyFont="1" applyFill="1" applyBorder="1"/>
    <xf numFmtId="49" fontId="7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/>
    <xf numFmtId="165" fontId="0" fillId="2" borderId="0" xfId="0" applyNumberFormat="1" applyFill="1"/>
    <xf numFmtId="164" fontId="0" fillId="2" borderId="1" xfId="0" applyNumberFormat="1" applyFill="1" applyBorder="1"/>
    <xf numFmtId="0" fontId="0" fillId="2" borderId="1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/>
    <xf numFmtId="164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164" fontId="0" fillId="2" borderId="14" xfId="0" applyNumberFormat="1" applyFill="1" applyBorder="1"/>
    <xf numFmtId="164" fontId="0" fillId="0" borderId="14" xfId="0" applyNumberFormat="1" applyBorder="1"/>
    <xf numFmtId="0" fontId="0" fillId="0" borderId="10" xfId="0" applyBorder="1"/>
    <xf numFmtId="164" fontId="0" fillId="0" borderId="11" xfId="0" applyNumberFormat="1" applyBorder="1"/>
    <xf numFmtId="0" fontId="0" fillId="0" borderId="11" xfId="0" applyBorder="1"/>
    <xf numFmtId="0" fontId="0" fillId="0" borderId="12" xfId="0" applyBorder="1"/>
    <xf numFmtId="164" fontId="0" fillId="0" borderId="7" xfId="0" applyNumberFormat="1" applyBorder="1"/>
    <xf numFmtId="1" fontId="0" fillId="2" borderId="13" xfId="0" applyNumberFormat="1" applyFill="1" applyBorder="1"/>
    <xf numFmtId="164" fontId="0" fillId="0" borderId="12" xfId="0" applyNumberFormat="1" applyBorder="1"/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6" xfId="0" applyFont="1" applyBorder="1" applyAlignment="1"/>
    <xf numFmtId="0" fontId="8" fillId="0" borderId="17" xfId="0" applyFont="1" applyBorder="1" applyAlignment="1"/>
    <xf numFmtId="0" fontId="0" fillId="0" borderId="18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9" xfId="0" quotePrefix="1" applyNumberFormat="1" applyBorder="1" applyAlignment="1">
      <alignment horizontal="center"/>
    </xf>
    <xf numFmtId="165" fontId="0" fillId="0" borderId="20" xfId="0" quotePrefix="1" applyNumberFormat="1" applyBorder="1" applyAlignment="1">
      <alignment horizontal="center"/>
    </xf>
    <xf numFmtId="165" fontId="0" fillId="0" borderId="21" xfId="0" quotePrefix="1" applyNumberFormat="1" applyBorder="1" applyAlignment="1">
      <alignment horizontal="center"/>
    </xf>
    <xf numFmtId="165" fontId="0" fillId="0" borderId="9" xfId="0" quotePrefix="1" applyNumberFormat="1" applyBorder="1" applyAlignment="1">
      <alignment horizontal="center"/>
    </xf>
    <xf numFmtId="165" fontId="0" fillId="0" borderId="6" xfId="0" quotePrefix="1" applyNumberFormat="1" applyBorder="1" applyAlignment="1">
      <alignment horizontal="center"/>
    </xf>
    <xf numFmtId="165" fontId="0" fillId="0" borderId="7" xfId="0" quotePrefix="1" applyNumberFormat="1" applyBorder="1" applyAlignment="1">
      <alignment horizontal="center"/>
    </xf>
    <xf numFmtId="165" fontId="0" fillId="0" borderId="10" xfId="0" applyNumberFormat="1" applyBorder="1"/>
    <xf numFmtId="165" fontId="0" fillId="0" borderId="11" xfId="0" applyNumberFormat="1" applyBorder="1"/>
    <xf numFmtId="165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22" xfId="0" applyNumberFormat="1" applyBorder="1"/>
    <xf numFmtId="165" fontId="0" fillId="0" borderId="0" xfId="0" applyNumberFormat="1" applyBorder="1"/>
    <xf numFmtId="164" fontId="0" fillId="2" borderId="13" xfId="0" applyNumberForma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5" fontId="0" fillId="0" borderId="23" xfId="0" applyNumberFormat="1" applyBorder="1"/>
    <xf numFmtId="165" fontId="0" fillId="0" borderId="0" xfId="0" quotePrefix="1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7" fontId="0" fillId="2" borderId="26" xfId="0" applyNumberFormat="1" applyFill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167" fontId="0" fillId="2" borderId="30" xfId="0" applyNumberFormat="1" applyFill="1" applyBorder="1"/>
    <xf numFmtId="165" fontId="0" fillId="0" borderId="18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9" fillId="0" borderId="27" xfId="0" applyFont="1" applyBorder="1"/>
    <xf numFmtId="0" fontId="9" fillId="0" borderId="28" xfId="0" applyFont="1" applyBorder="1"/>
    <xf numFmtId="165" fontId="9" fillId="0" borderId="13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/>
    <xf numFmtId="165" fontId="9" fillId="0" borderId="15" xfId="0" applyNumberFormat="1" applyFont="1" applyBorder="1"/>
    <xf numFmtId="165" fontId="9" fillId="0" borderId="31" xfId="0" applyNumberFormat="1" applyFont="1" applyBorder="1"/>
    <xf numFmtId="165" fontId="9" fillId="0" borderId="32" xfId="0" applyNumberFormat="1" applyFont="1" applyBorder="1"/>
    <xf numFmtId="165" fontId="9" fillId="0" borderId="16" xfId="0" applyNumberFormat="1" applyFont="1" applyBorder="1"/>
    <xf numFmtId="165" fontId="9" fillId="0" borderId="33" xfId="0" applyNumberFormat="1" applyFont="1" applyBorder="1"/>
    <xf numFmtId="165" fontId="9" fillId="0" borderId="34" xfId="0" applyNumberFormat="1" applyFont="1" applyBorder="1"/>
    <xf numFmtId="165" fontId="0" fillId="0" borderId="35" xfId="0" applyNumberFormat="1" applyBorder="1"/>
    <xf numFmtId="165" fontId="0" fillId="0" borderId="36" xfId="0" applyNumberFormat="1" applyBorder="1"/>
    <xf numFmtId="165" fontId="0" fillId="0" borderId="37" xfId="0" applyNumberFormat="1" applyBorder="1"/>
    <xf numFmtId="164" fontId="0" fillId="2" borderId="38" xfId="0" applyNumberFormat="1" applyFill="1" applyBorder="1"/>
    <xf numFmtId="164" fontId="0" fillId="0" borderId="38" xfId="0" applyNumberFormat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15" xfId="0" applyBorder="1"/>
    <xf numFmtId="0" fontId="0" fillId="0" borderId="31" xfId="0" applyBorder="1"/>
    <xf numFmtId="0" fontId="0" fillId="0" borderId="32" xfId="0" applyBorder="1"/>
    <xf numFmtId="165" fontId="9" fillId="2" borderId="13" xfId="0" applyNumberFormat="1" applyFont="1" applyFill="1" applyBorder="1" applyAlignment="1">
      <alignment horizontal="center"/>
    </xf>
    <xf numFmtId="165" fontId="9" fillId="2" borderId="1" xfId="0" applyNumberFormat="1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0" xfId="0" applyFont="1" applyFill="1"/>
    <xf numFmtId="0" fontId="0" fillId="0" borderId="0" xfId="0" applyBorder="1" applyProtection="1"/>
    <xf numFmtId="0" fontId="0" fillId="0" borderId="0" xfId="0" applyBorder="1" applyProtection="1">
      <protection locked="0"/>
    </xf>
    <xf numFmtId="0" fontId="0" fillId="0" borderId="0" xfId="0" applyFill="1" applyBorder="1" applyProtection="1"/>
    <xf numFmtId="167" fontId="0" fillId="0" borderId="30" xfId="0" applyNumberFormat="1" applyBorder="1"/>
    <xf numFmtId="164" fontId="0" fillId="0" borderId="2" xfId="0" quotePrefix="1" applyNumberFormat="1" applyBorder="1" applyAlignment="1">
      <alignment horizontal="center" wrapText="1"/>
    </xf>
    <xf numFmtId="165" fontId="0" fillId="0" borderId="5" xfId="0" quotePrefix="1" applyNumberFormat="1" applyBorder="1" applyAlignment="1">
      <alignment horizontal="center"/>
    </xf>
    <xf numFmtId="0" fontId="0" fillId="0" borderId="0" xfId="0" applyFill="1"/>
    <xf numFmtId="1" fontId="0" fillId="0" borderId="0" xfId="0" applyNumberFormat="1" applyFill="1"/>
    <xf numFmtId="165" fontId="0" fillId="0" borderId="1" xfId="0" applyNumberFormat="1" applyBorder="1" applyAlignment="1">
      <alignment horizontal="center"/>
    </xf>
    <xf numFmtId="164" fontId="2" fillId="0" borderId="10" xfId="0" quotePrefix="1" applyNumberFormat="1" applyFont="1" applyFill="1" applyBorder="1" applyAlignment="1">
      <alignment horizontal="center"/>
    </xf>
    <xf numFmtId="164" fontId="2" fillId="0" borderId="11" xfId="0" quotePrefix="1" applyNumberFormat="1" applyFont="1" applyFill="1" applyBorder="1" applyAlignment="1">
      <alignment horizontal="center"/>
    </xf>
    <xf numFmtId="1" fontId="2" fillId="0" borderId="11" xfId="0" quotePrefix="1" applyNumberFormat="1" applyFont="1" applyFill="1" applyBorder="1" applyAlignment="1">
      <alignment horizontal="center"/>
    </xf>
    <xf numFmtId="167" fontId="2" fillId="0" borderId="11" xfId="0" quotePrefix="1" applyNumberFormat="1" applyFont="1" applyFill="1" applyBorder="1" applyAlignment="1">
      <alignment horizontal="center"/>
    </xf>
    <xf numFmtId="11" fontId="2" fillId="0" borderId="11" xfId="0" applyNumberFormat="1" applyFont="1" applyFill="1" applyBorder="1" applyAlignment="1">
      <alignment horizontal="center"/>
    </xf>
    <xf numFmtId="0" fontId="2" fillId="0" borderId="11" xfId="0" quotePrefix="1" applyNumberFormat="1" applyFont="1" applyFill="1" applyBorder="1" applyAlignment="1">
      <alignment horizontal="center"/>
    </xf>
    <xf numFmtId="165" fontId="2" fillId="0" borderId="11" xfId="0" quotePrefix="1" applyNumberFormat="1" applyFont="1" applyFill="1" applyBorder="1" applyAlignment="1">
      <alignment horizontal="center"/>
    </xf>
    <xf numFmtId="165" fontId="2" fillId="2" borderId="1" xfId="0" quotePrefix="1" applyNumberFormat="1" applyFont="1" applyFill="1" applyBorder="1"/>
    <xf numFmtId="0" fontId="0" fillId="4" borderId="0" xfId="0" applyFill="1"/>
    <xf numFmtId="0" fontId="0" fillId="0" borderId="40" xfId="0" applyBorder="1"/>
    <xf numFmtId="0" fontId="0" fillId="0" borderId="4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32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0" fillId="0" borderId="29" xfId="0" applyBorder="1"/>
    <xf numFmtId="0" fontId="0" fillId="0" borderId="7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0" xfId="0" applyBorder="1"/>
    <xf numFmtId="164" fontId="0" fillId="0" borderId="19" xfId="0" applyNumberFormat="1" applyBorder="1"/>
    <xf numFmtId="164" fontId="0" fillId="0" borderId="21" xfId="0" applyNumberFormat="1" applyBorder="1"/>
    <xf numFmtId="165" fontId="0" fillId="0" borderId="43" xfId="0" applyNumberFormat="1" applyBorder="1"/>
    <xf numFmtId="164" fontId="0" fillId="0" borderId="44" xfId="0" applyNumberFormat="1" applyBorder="1"/>
    <xf numFmtId="165" fontId="0" fillId="0" borderId="14" xfId="0" applyNumberFormat="1" applyBorder="1"/>
    <xf numFmtId="164" fontId="0" fillId="0" borderId="18" xfId="0" applyNumberFormat="1" applyBorder="1"/>
    <xf numFmtId="165" fontId="0" fillId="0" borderId="12" xfId="0" applyNumberFormat="1" applyBorder="1"/>
    <xf numFmtId="0" fontId="0" fillId="0" borderId="6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166" fontId="0" fillId="3" borderId="11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167" fontId="0" fillId="3" borderId="11" xfId="0" applyNumberForma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left"/>
    </xf>
    <xf numFmtId="166" fontId="0" fillId="3" borderId="19" xfId="0" applyNumberFormat="1" applyFill="1" applyBorder="1" applyAlignment="1">
      <alignment horizontal="center" vertical="center"/>
    </xf>
    <xf numFmtId="2" fontId="0" fillId="3" borderId="19" xfId="0" applyNumberFormat="1" applyFill="1" applyBorder="1" applyAlignment="1">
      <alignment horizontal="center" vertical="center"/>
    </xf>
    <xf numFmtId="167" fontId="0" fillId="3" borderId="19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167" fontId="0" fillId="0" borderId="13" xfId="0" applyNumberFormat="1" applyBorder="1"/>
    <xf numFmtId="167" fontId="0" fillId="0" borderId="10" xfId="0" applyNumberFormat="1" applyBorder="1"/>
    <xf numFmtId="0" fontId="0" fillId="0" borderId="8" xfId="0" applyFill="1" applyBorder="1" applyAlignment="1">
      <alignment horizontal="center"/>
    </xf>
    <xf numFmtId="0" fontId="0" fillId="0" borderId="18" xfId="0" applyBorder="1"/>
    <xf numFmtId="166" fontId="0" fillId="3" borderId="20" xfId="0" applyNumberFormat="1" applyFill="1" applyBorder="1" applyAlignment="1">
      <alignment horizontal="center" vertical="center"/>
    </xf>
    <xf numFmtId="166" fontId="0" fillId="3" borderId="13" xfId="0" applyNumberFormat="1" applyFill="1" applyBorder="1" applyAlignment="1">
      <alignment horizontal="center" vertical="center"/>
    </xf>
    <xf numFmtId="166" fontId="0" fillId="3" borderId="10" xfId="0" applyNumberFormat="1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0" fillId="0" borderId="44" xfId="0" applyBorder="1"/>
    <xf numFmtId="0" fontId="0" fillId="0" borderId="1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0" fillId="0" borderId="13" xfId="0" applyNumberFormat="1" applyFill="1" applyBorder="1" applyAlignment="1" applyProtection="1">
      <alignment horizontal="center" vertical="center"/>
    </xf>
    <xf numFmtId="166" fontId="0" fillId="0" borderId="13" xfId="0" applyNumberFormat="1" applyFill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13" xfId="0" applyNumberFormat="1" applyBorder="1"/>
    <xf numFmtId="166" fontId="0" fillId="0" borderId="10" xfId="0" applyNumberFormat="1" applyBorder="1"/>
    <xf numFmtId="0" fontId="11" fillId="0" borderId="7" xfId="0" applyFont="1" applyBorder="1" applyAlignment="1">
      <alignment horizontal="center" vertical="center"/>
    </xf>
    <xf numFmtId="165" fontId="0" fillId="0" borderId="10" xfId="0" quotePrefix="1" applyNumberFormat="1" applyBorder="1"/>
    <xf numFmtId="165" fontId="0" fillId="0" borderId="11" xfId="0" quotePrefix="1" applyNumberFormat="1" applyBorder="1"/>
    <xf numFmtId="165" fontId="0" fillId="0" borderId="12" xfId="0" quotePrefix="1" applyNumberFormat="1" applyBorder="1"/>
    <xf numFmtId="167" fontId="0" fillId="0" borderId="13" xfId="0" applyNumberFormat="1" applyBorder="1" applyAlignment="1">
      <alignment horizontal="center" vertical="center"/>
    </xf>
    <xf numFmtId="0" fontId="1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9" xfId="0" applyBorder="1"/>
    <xf numFmtId="0" fontId="0" fillId="0" borderId="21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/>
    <xf numFmtId="0" fontId="0" fillId="0" borderId="38" xfId="0" applyBorder="1"/>
    <xf numFmtId="0" fontId="0" fillId="0" borderId="25" xfId="0" applyBorder="1"/>
    <xf numFmtId="0" fontId="8" fillId="0" borderId="32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2" fillId="0" borderId="18" xfId="0" quotePrefix="1" applyNumberFormat="1" applyFont="1" applyFill="1" applyBorder="1" applyAlignment="1">
      <alignment horizontal="center"/>
    </xf>
    <xf numFmtId="165" fontId="2" fillId="2" borderId="44" xfId="0" quotePrefix="1" applyNumberFormat="1" applyFont="1" applyFill="1" applyBorder="1"/>
    <xf numFmtId="165" fontId="0" fillId="5" borderId="10" xfId="0" applyNumberFormat="1" applyFill="1" applyBorder="1" applyAlignment="1">
      <alignment horizontal="center"/>
    </xf>
    <xf numFmtId="165" fontId="0" fillId="5" borderId="11" xfId="0" applyNumberFormat="1" applyFill="1" applyBorder="1" applyAlignment="1">
      <alignment horizontal="center"/>
    </xf>
    <xf numFmtId="165" fontId="0" fillId="5" borderId="12" xfId="0" applyNumberFormat="1" applyFill="1" applyBorder="1" applyAlignment="1">
      <alignment horizontal="center"/>
    </xf>
    <xf numFmtId="0" fontId="11" fillId="0" borderId="21" xfId="0" applyFont="1" applyBorder="1" applyAlignment="1">
      <alignment horizontal="center" vertical="center"/>
    </xf>
    <xf numFmtId="2" fontId="13" fillId="0" borderId="19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11" fillId="0" borderId="44" xfId="0" applyFon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49" xfId="0" quotePrefix="1" applyNumberFormat="1" applyBorder="1" applyAlignment="1">
      <alignment horizontal="center"/>
    </xf>
    <xf numFmtId="165" fontId="0" fillId="0" borderId="25" xfId="0" quotePrefix="1" applyNumberFormat="1" applyBorder="1"/>
    <xf numFmtId="165" fontId="0" fillId="0" borderId="10" xfId="0" quotePrefix="1" applyNumberFormat="1" applyBorder="1" applyAlignment="1">
      <alignment wrapText="1"/>
    </xf>
    <xf numFmtId="165" fontId="0" fillId="0" borderId="11" xfId="0" quotePrefix="1" applyNumberFormat="1" applyBorder="1" applyAlignment="1">
      <alignment wrapText="1"/>
    </xf>
    <xf numFmtId="165" fontId="0" fillId="0" borderId="12" xfId="0" quotePrefix="1" applyNumberFormat="1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5" fillId="0" borderId="0" xfId="0" applyFont="1"/>
    <xf numFmtId="164" fontId="15" fillId="0" borderId="2" xfId="0" quotePrefix="1" applyNumberFormat="1" applyFont="1" applyBorder="1" applyAlignment="1">
      <alignment horizontal="center" wrapText="1"/>
    </xf>
    <xf numFmtId="164" fontId="15" fillId="0" borderId="3" xfId="0" quotePrefix="1" applyNumberFormat="1" applyFont="1" applyBorder="1" applyAlignment="1">
      <alignment horizontal="center" wrapText="1"/>
    </xf>
    <xf numFmtId="2" fontId="15" fillId="0" borderId="3" xfId="0" applyNumberFormat="1" applyFont="1" applyBorder="1" applyAlignment="1">
      <alignment horizontal="center" wrapText="1"/>
    </xf>
    <xf numFmtId="1" fontId="15" fillId="0" borderId="3" xfId="0" quotePrefix="1" applyNumberFormat="1" applyFont="1" applyBorder="1" applyAlignment="1">
      <alignment horizontal="center" wrapText="1"/>
    </xf>
    <xf numFmtId="164" fontId="15" fillId="0" borderId="3" xfId="0" applyNumberFormat="1" applyFont="1" applyBorder="1" applyAlignment="1">
      <alignment horizontal="center" wrapText="1"/>
    </xf>
    <xf numFmtId="1" fontId="15" fillId="0" borderId="3" xfId="0" applyNumberFormat="1" applyFont="1" applyBorder="1" applyAlignment="1">
      <alignment horizontal="center" wrapText="1"/>
    </xf>
    <xf numFmtId="0" fontId="15" fillId="0" borderId="3" xfId="0" applyNumberFormat="1" applyFont="1" applyBorder="1" applyAlignment="1">
      <alignment horizontal="center" wrapText="1"/>
    </xf>
    <xf numFmtId="165" fontId="15" fillId="0" borderId="3" xfId="0" quotePrefix="1" applyNumberFormat="1" applyFont="1" applyBorder="1" applyAlignment="1">
      <alignment horizontal="center"/>
    </xf>
    <xf numFmtId="165" fontId="15" fillId="0" borderId="5" xfId="0" quotePrefix="1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4" fontId="16" fillId="0" borderId="10" xfId="0" quotePrefix="1" applyNumberFormat="1" applyFont="1" applyFill="1" applyBorder="1" applyAlignment="1">
      <alignment horizontal="center"/>
    </xf>
    <xf numFmtId="164" fontId="16" fillId="0" borderId="11" xfId="0" quotePrefix="1" applyNumberFormat="1" applyFont="1" applyFill="1" applyBorder="1" applyAlignment="1">
      <alignment horizontal="center"/>
    </xf>
    <xf numFmtId="1" fontId="16" fillId="0" borderId="11" xfId="0" quotePrefix="1" applyNumberFormat="1" applyFont="1" applyFill="1" applyBorder="1" applyAlignment="1">
      <alignment horizontal="center"/>
    </xf>
    <xf numFmtId="167" fontId="16" fillId="0" borderId="11" xfId="0" quotePrefix="1" applyNumberFormat="1" applyFont="1" applyFill="1" applyBorder="1" applyAlignment="1">
      <alignment horizontal="center"/>
    </xf>
    <xf numFmtId="11" fontId="16" fillId="0" borderId="11" xfId="0" applyNumberFormat="1" applyFont="1" applyFill="1" applyBorder="1" applyAlignment="1">
      <alignment horizontal="center"/>
    </xf>
    <xf numFmtId="0" fontId="16" fillId="0" borderId="11" xfId="0" quotePrefix="1" applyNumberFormat="1" applyFont="1" applyFill="1" applyBorder="1" applyAlignment="1">
      <alignment horizontal="center"/>
    </xf>
    <xf numFmtId="165" fontId="16" fillId="0" borderId="11" xfId="0" quotePrefix="1" applyNumberFormat="1" applyFont="1" applyFill="1" applyBorder="1" applyAlignment="1">
      <alignment horizontal="center"/>
    </xf>
    <xf numFmtId="165" fontId="16" fillId="0" borderId="18" xfId="0" quotePrefix="1" applyNumberFormat="1" applyFont="1" applyFill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165" fontId="16" fillId="2" borderId="1" xfId="0" quotePrefix="1" applyNumberFormat="1" applyFont="1" applyFill="1" applyBorder="1"/>
    <xf numFmtId="165" fontId="16" fillId="2" borderId="44" xfId="0" quotePrefix="1" applyNumberFormat="1" applyFont="1" applyFill="1" applyBorder="1"/>
    <xf numFmtId="0" fontId="17" fillId="0" borderId="0" xfId="0" applyFont="1" applyBorder="1" applyAlignment="1">
      <alignment horizontal="center"/>
    </xf>
    <xf numFmtId="165" fontId="15" fillId="0" borderId="0" xfId="0" applyNumberFormat="1" applyFont="1"/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6" xfId="0" applyFont="1" applyBorder="1" applyAlignment="1"/>
    <xf numFmtId="0" fontId="17" fillId="0" borderId="17" xfId="0" applyFont="1" applyBorder="1" applyAlignment="1"/>
    <xf numFmtId="0" fontId="17" fillId="0" borderId="32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42" xfId="0" applyFont="1" applyBorder="1" applyAlignment="1">
      <alignment horizontal="center"/>
    </xf>
    <xf numFmtId="0" fontId="15" fillId="0" borderId="29" xfId="0" applyFont="1" applyBorder="1"/>
    <xf numFmtId="0" fontId="15" fillId="0" borderId="0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0" borderId="9" xfId="0" applyFont="1" applyBorder="1"/>
    <xf numFmtId="164" fontId="15" fillId="0" borderId="6" xfId="0" applyNumberFormat="1" applyFont="1" applyBorder="1"/>
    <xf numFmtId="164" fontId="15" fillId="0" borderId="7" xfId="0" applyNumberFormat="1" applyFont="1" applyBorder="1"/>
    <xf numFmtId="0" fontId="15" fillId="0" borderId="6" xfId="0" applyFont="1" applyBorder="1"/>
    <xf numFmtId="0" fontId="15" fillId="0" borderId="7" xfId="0" applyFont="1" applyBorder="1"/>
    <xf numFmtId="1" fontId="15" fillId="0" borderId="0" xfId="0" applyNumberFormat="1" applyFont="1"/>
    <xf numFmtId="0" fontId="15" fillId="0" borderId="20" xfId="0" applyFont="1" applyBorder="1"/>
    <xf numFmtId="164" fontId="15" fillId="0" borderId="19" xfId="0" applyNumberFormat="1" applyFont="1" applyBorder="1"/>
    <xf numFmtId="164" fontId="15" fillId="0" borderId="21" xfId="0" applyNumberFormat="1" applyFont="1" applyBorder="1"/>
    <xf numFmtId="0" fontId="15" fillId="0" borderId="13" xfId="0" applyFont="1" applyBorder="1"/>
    <xf numFmtId="164" fontId="15" fillId="0" borderId="1" xfId="0" applyNumberFormat="1" applyFont="1" applyBorder="1"/>
    <xf numFmtId="164" fontId="15" fillId="0" borderId="14" xfId="0" applyNumberFormat="1" applyFont="1" applyBorder="1"/>
    <xf numFmtId="0" fontId="15" fillId="0" borderId="1" xfId="0" applyFont="1" applyBorder="1"/>
    <xf numFmtId="0" fontId="15" fillId="0" borderId="14" xfId="0" applyFont="1" applyBorder="1"/>
    <xf numFmtId="164" fontId="15" fillId="0" borderId="44" xfId="0" applyNumberFormat="1" applyFont="1" applyBorder="1"/>
    <xf numFmtId="1" fontId="15" fillId="2" borderId="13" xfId="0" applyNumberFormat="1" applyFont="1" applyFill="1" applyBorder="1"/>
    <xf numFmtId="164" fontId="15" fillId="2" borderId="1" xfId="0" applyNumberFormat="1" applyFont="1" applyFill="1" applyBorder="1"/>
    <xf numFmtId="164" fontId="15" fillId="2" borderId="14" xfId="0" applyNumberFormat="1" applyFont="1" applyFill="1" applyBorder="1"/>
    <xf numFmtId="0" fontId="15" fillId="2" borderId="13" xfId="0" applyFont="1" applyFill="1" applyBorder="1"/>
    <xf numFmtId="0" fontId="15" fillId="2" borderId="1" xfId="0" applyFont="1" applyFill="1" applyBorder="1"/>
    <xf numFmtId="0" fontId="15" fillId="0" borderId="0" xfId="0" applyFont="1" applyFill="1"/>
    <xf numFmtId="0" fontId="15" fillId="2" borderId="0" xfId="0" applyFont="1" applyFill="1"/>
    <xf numFmtId="165" fontId="15" fillId="2" borderId="0" xfId="0" applyNumberFormat="1" applyFont="1" applyFill="1"/>
    <xf numFmtId="1" fontId="15" fillId="0" borderId="0" xfId="0" applyNumberFormat="1" applyFont="1" applyFill="1"/>
    <xf numFmtId="0" fontId="15" fillId="0" borderId="10" xfId="0" applyFont="1" applyBorder="1"/>
    <xf numFmtId="164" fontId="15" fillId="0" borderId="11" xfId="0" applyNumberFormat="1" applyFont="1" applyBorder="1"/>
    <xf numFmtId="164" fontId="15" fillId="0" borderId="12" xfId="0" applyNumberFormat="1" applyFont="1" applyBorder="1"/>
    <xf numFmtId="0" fontId="15" fillId="0" borderId="11" xfId="0" applyFont="1" applyBorder="1"/>
    <xf numFmtId="0" fontId="15" fillId="0" borderId="12" xfId="0" applyFont="1" applyBorder="1"/>
    <xf numFmtId="164" fontId="15" fillId="0" borderId="18" xfId="0" applyNumberFormat="1" applyFont="1" applyBorder="1"/>
    <xf numFmtId="0" fontId="15" fillId="0" borderId="0" xfId="0" applyFont="1" applyBorder="1" applyProtection="1"/>
    <xf numFmtId="0" fontId="15" fillId="0" borderId="0" xfId="0" applyFont="1" applyBorder="1" applyProtection="1">
      <protection locked="0"/>
    </xf>
    <xf numFmtId="165" fontId="15" fillId="0" borderId="9" xfId="0" quotePrefix="1" applyNumberFormat="1" applyFont="1" applyBorder="1" applyAlignment="1">
      <alignment horizontal="center"/>
    </xf>
    <xf numFmtId="165" fontId="15" fillId="0" borderId="6" xfId="0" quotePrefix="1" applyNumberFormat="1" applyFont="1" applyBorder="1" applyAlignment="1">
      <alignment horizontal="center"/>
    </xf>
    <xf numFmtId="165" fontId="15" fillId="0" borderId="7" xfId="0" quotePrefix="1" applyNumberFormat="1" applyFont="1" applyBorder="1" applyAlignment="1">
      <alignment horizontal="center"/>
    </xf>
    <xf numFmtId="165" fontId="15" fillId="0" borderId="0" xfId="0" quotePrefix="1" applyNumberFormat="1" applyFont="1" applyBorder="1" applyAlignment="1">
      <alignment horizontal="center"/>
    </xf>
    <xf numFmtId="165" fontId="15" fillId="0" borderId="0" xfId="0" applyNumberFormat="1" applyFont="1" applyBorder="1"/>
    <xf numFmtId="0" fontId="15" fillId="0" borderId="0" xfId="0" applyFont="1" applyFill="1" applyBorder="1" applyProtection="1"/>
    <xf numFmtId="0" fontId="17" fillId="3" borderId="52" xfId="0" applyFont="1" applyFill="1" applyBorder="1" applyAlignment="1">
      <alignment horizontal="left"/>
    </xf>
    <xf numFmtId="0" fontId="15" fillId="0" borderId="6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165" fontId="15" fillId="0" borderId="21" xfId="0" applyNumberFormat="1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18" xfId="0" applyFont="1" applyBorder="1"/>
    <xf numFmtId="0" fontId="15" fillId="0" borderId="25" xfId="0" applyFont="1" applyBorder="1" applyAlignment="1">
      <alignment horizontal="center"/>
    </xf>
    <xf numFmtId="165" fontId="15" fillId="0" borderId="18" xfId="0" applyNumberFormat="1" applyFont="1" applyBorder="1" applyAlignment="1">
      <alignment horizontal="center"/>
    </xf>
    <xf numFmtId="166" fontId="15" fillId="3" borderId="20" xfId="0" applyNumberFormat="1" applyFont="1" applyFill="1" applyBorder="1" applyAlignment="1">
      <alignment horizontal="center" vertical="center"/>
    </xf>
    <xf numFmtId="2" fontId="15" fillId="3" borderId="19" xfId="0" applyNumberFormat="1" applyFont="1" applyFill="1" applyBorder="1" applyAlignment="1">
      <alignment horizontal="center" vertical="center"/>
    </xf>
    <xf numFmtId="167" fontId="15" fillId="3" borderId="19" xfId="0" applyNumberFormat="1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166" fontId="15" fillId="3" borderId="19" xfId="0" applyNumberFormat="1" applyFont="1" applyFill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2" fontId="15" fillId="0" borderId="9" xfId="0" applyNumberFormat="1" applyFont="1" applyBorder="1" applyAlignment="1">
      <alignment horizontal="center" vertical="center"/>
    </xf>
    <xf numFmtId="2" fontId="15" fillId="3" borderId="6" xfId="0" applyNumberFormat="1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2" fontId="15" fillId="0" borderId="19" xfId="0" applyNumberFormat="1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166" fontId="15" fillId="0" borderId="20" xfId="0" applyNumberFormat="1" applyFont="1" applyBorder="1" applyAlignment="1">
      <alignment horizontal="center" vertical="center"/>
    </xf>
    <xf numFmtId="164" fontId="15" fillId="0" borderId="27" xfId="0" applyNumberFormat="1" applyFont="1" applyBorder="1"/>
    <xf numFmtId="0" fontId="15" fillId="0" borderId="15" xfId="0" applyFont="1" applyBorder="1"/>
    <xf numFmtId="0" fontId="15" fillId="0" borderId="35" xfId="0" applyFont="1" applyBorder="1"/>
    <xf numFmtId="165" fontId="15" fillId="0" borderId="35" xfId="0" applyNumberFormat="1" applyFont="1" applyBorder="1"/>
    <xf numFmtId="165" fontId="15" fillId="0" borderId="22" xfId="0" applyNumberFormat="1" applyFont="1" applyBorder="1"/>
    <xf numFmtId="165" fontId="22" fillId="0" borderId="15" xfId="0" applyNumberFormat="1" applyFont="1" applyBorder="1"/>
    <xf numFmtId="165" fontId="22" fillId="0" borderId="16" xfId="0" applyNumberFormat="1" applyFont="1" applyBorder="1"/>
    <xf numFmtId="0" fontId="22" fillId="0" borderId="27" xfId="0" applyFont="1" applyBorder="1"/>
    <xf numFmtId="166" fontId="15" fillId="3" borderId="13" xfId="0" applyNumberFormat="1" applyFont="1" applyFill="1" applyBorder="1" applyAlignment="1">
      <alignment horizontal="center" vertical="center"/>
    </xf>
    <xf numFmtId="2" fontId="15" fillId="3" borderId="1" xfId="0" applyNumberFormat="1" applyFont="1" applyFill="1" applyBorder="1" applyAlignment="1">
      <alignment horizontal="center" vertical="center"/>
    </xf>
    <xf numFmtId="167" fontId="15" fillId="3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6" fontId="15" fillId="3" borderId="1" xfId="0" applyNumberFormat="1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2" fontId="15" fillId="0" borderId="13" xfId="0" applyNumberFormat="1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166" fontId="15" fillId="0" borderId="13" xfId="0" applyNumberFormat="1" applyFont="1" applyFill="1" applyBorder="1" applyAlignment="1" applyProtection="1">
      <alignment horizontal="center" vertical="center"/>
    </xf>
    <xf numFmtId="164" fontId="15" fillId="0" borderId="28" xfId="0" applyNumberFormat="1" applyFont="1" applyBorder="1"/>
    <xf numFmtId="0" fontId="15" fillId="0" borderId="31" xfId="0" applyFont="1" applyBorder="1"/>
    <xf numFmtId="0" fontId="15" fillId="0" borderId="36" xfId="0" applyFont="1" applyBorder="1"/>
    <xf numFmtId="165" fontId="15" fillId="0" borderId="36" xfId="0" applyNumberFormat="1" applyFont="1" applyBorder="1"/>
    <xf numFmtId="165" fontId="22" fillId="0" borderId="31" xfId="0" applyNumberFormat="1" applyFont="1" applyBorder="1"/>
    <xf numFmtId="165" fontId="22" fillId="0" borderId="33" xfId="0" applyNumberFormat="1" applyFont="1" applyBorder="1"/>
    <xf numFmtId="0" fontId="22" fillId="0" borderId="28" xfId="0" applyFont="1" applyBorder="1"/>
    <xf numFmtId="2" fontId="15" fillId="0" borderId="13" xfId="0" applyNumberFormat="1" applyFont="1" applyFill="1" applyBorder="1" applyAlignment="1">
      <alignment horizontal="center" vertical="center"/>
    </xf>
    <xf numFmtId="166" fontId="15" fillId="0" borderId="13" xfId="0" applyNumberFormat="1" applyFont="1" applyFill="1" applyBorder="1" applyAlignment="1">
      <alignment horizontal="center" vertical="center"/>
    </xf>
    <xf numFmtId="167" fontId="15" fillId="2" borderId="30" xfId="0" applyNumberFormat="1" applyFont="1" applyFill="1" applyBorder="1"/>
    <xf numFmtId="164" fontId="15" fillId="2" borderId="13" xfId="0" applyNumberFormat="1" applyFont="1" applyFill="1" applyBorder="1" applyAlignment="1">
      <alignment horizontal="center"/>
    </xf>
    <xf numFmtId="164" fontId="15" fillId="2" borderId="38" xfId="0" applyNumberFormat="1" applyFont="1" applyFill="1" applyBorder="1"/>
    <xf numFmtId="165" fontId="22" fillId="2" borderId="13" xfId="0" applyNumberFormat="1" applyFont="1" applyFill="1" applyBorder="1" applyAlignment="1">
      <alignment horizontal="center"/>
    </xf>
    <xf numFmtId="165" fontId="22" fillId="2" borderId="1" xfId="0" applyNumberFormat="1" applyFont="1" applyFill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17" fillId="2" borderId="0" xfId="0" applyFont="1" applyFill="1"/>
    <xf numFmtId="166" fontId="15" fillId="0" borderId="13" xfId="0" applyNumberFormat="1" applyFont="1" applyBorder="1" applyAlignment="1">
      <alignment horizontal="center" vertical="center"/>
    </xf>
    <xf numFmtId="167" fontId="15" fillId="0" borderId="30" xfId="0" applyNumberFormat="1" applyFont="1" applyBorder="1"/>
    <xf numFmtId="164" fontId="15" fillId="0" borderId="13" xfId="0" applyNumberFormat="1" applyFont="1" applyBorder="1" applyAlignment="1">
      <alignment horizontal="center"/>
    </xf>
    <xf numFmtId="164" fontId="15" fillId="0" borderId="38" xfId="0" applyNumberFormat="1" applyFont="1" applyBorder="1"/>
    <xf numFmtId="165" fontId="22" fillId="0" borderId="13" xfId="0" applyNumberFormat="1" applyFont="1" applyBorder="1" applyAlignment="1">
      <alignment horizontal="center"/>
    </xf>
    <xf numFmtId="165" fontId="22" fillId="0" borderId="1" xfId="0" applyNumberFormat="1" applyFont="1" applyBorder="1" applyAlignment="1">
      <alignment horizontal="center"/>
    </xf>
    <xf numFmtId="167" fontId="15" fillId="2" borderId="26" xfId="0" applyNumberFormat="1" applyFont="1" applyFill="1" applyBorder="1"/>
    <xf numFmtId="0" fontId="22" fillId="2" borderId="30" xfId="0" applyFont="1" applyFill="1" applyBorder="1" applyAlignment="1">
      <alignment horizontal="center"/>
    </xf>
    <xf numFmtId="0" fontId="19" fillId="2" borderId="0" xfId="0" applyFont="1" applyFill="1"/>
    <xf numFmtId="167" fontId="15" fillId="0" borderId="13" xfId="0" applyNumberFormat="1" applyFont="1" applyBorder="1"/>
    <xf numFmtId="164" fontId="15" fillId="0" borderId="1" xfId="0" applyNumberFormat="1" applyFont="1" applyBorder="1" applyAlignment="1">
      <alignment horizontal="center" vertical="center"/>
    </xf>
    <xf numFmtId="0" fontId="15" fillId="0" borderId="44" xfId="0" applyFont="1" applyBorder="1"/>
    <xf numFmtId="166" fontId="15" fillId="0" borderId="13" xfId="0" applyNumberFormat="1" applyFont="1" applyBorder="1"/>
    <xf numFmtId="166" fontId="15" fillId="3" borderId="10" xfId="0" applyNumberFormat="1" applyFont="1" applyFill="1" applyBorder="1" applyAlignment="1">
      <alignment horizontal="center" vertical="center"/>
    </xf>
    <xf numFmtId="2" fontId="15" fillId="3" borderId="11" xfId="0" applyNumberFormat="1" applyFont="1" applyFill="1" applyBorder="1" applyAlignment="1">
      <alignment horizontal="center" vertical="center"/>
    </xf>
    <xf numFmtId="167" fontId="15" fillId="3" borderId="11" xfId="0" applyNumberFormat="1" applyFont="1" applyFill="1" applyBorder="1" applyAlignment="1">
      <alignment horizontal="center" vertical="center"/>
    </xf>
    <xf numFmtId="166" fontId="15" fillId="3" borderId="11" xfId="0" applyNumberFormat="1" applyFont="1" applyFill="1" applyBorder="1" applyAlignment="1">
      <alignment horizontal="center" vertical="center"/>
    </xf>
    <xf numFmtId="167" fontId="15" fillId="0" borderId="10" xfId="0" applyNumberFormat="1" applyFont="1" applyBorder="1"/>
    <xf numFmtId="164" fontId="15" fillId="0" borderId="11" xfId="0" applyNumberFormat="1" applyFont="1" applyBorder="1" applyAlignment="1">
      <alignment horizontal="center" vertical="center"/>
    </xf>
    <xf numFmtId="166" fontId="15" fillId="0" borderId="10" xfId="0" applyNumberFormat="1" applyFont="1" applyBorder="1"/>
    <xf numFmtId="164" fontId="15" fillId="0" borderId="29" xfId="0" applyNumberFormat="1" applyFont="1" applyBorder="1"/>
    <xf numFmtId="0" fontId="15" fillId="0" borderId="32" xfId="0" applyFont="1" applyBorder="1"/>
    <xf numFmtId="0" fontId="15" fillId="0" borderId="37" xfId="0" applyFont="1" applyBorder="1"/>
    <xf numFmtId="165" fontId="15" fillId="0" borderId="37" xfId="0" applyNumberFormat="1" applyFont="1" applyBorder="1"/>
    <xf numFmtId="165" fontId="15" fillId="0" borderId="23" xfId="0" applyNumberFormat="1" applyFont="1" applyBorder="1"/>
    <xf numFmtId="165" fontId="22" fillId="0" borderId="32" xfId="0" applyNumberFormat="1" applyFont="1" applyBorder="1"/>
    <xf numFmtId="165" fontId="22" fillId="0" borderId="34" xfId="0" applyNumberFormat="1" applyFont="1" applyBorder="1"/>
    <xf numFmtId="0" fontId="22" fillId="0" borderId="29" xfId="0" applyFont="1" applyBorder="1"/>
    <xf numFmtId="0" fontId="2" fillId="0" borderId="1" xfId="0" quotePrefix="1" applyNumberFormat="1" applyFont="1" applyFill="1" applyBorder="1"/>
    <xf numFmtId="2" fontId="15" fillId="3" borderId="3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165" fontId="15" fillId="0" borderId="8" xfId="0" quotePrefix="1" applyNumberFormat="1" applyFont="1" applyBorder="1" applyAlignment="1">
      <alignment horizontal="center"/>
    </xf>
    <xf numFmtId="2" fontId="15" fillId="0" borderId="43" xfId="0" applyNumberFormat="1" applyFont="1" applyBorder="1"/>
    <xf numFmtId="2" fontId="15" fillId="0" borderId="14" xfId="0" applyNumberFormat="1" applyFont="1" applyBorder="1"/>
    <xf numFmtId="2" fontId="15" fillId="0" borderId="12" xfId="0" applyNumberFormat="1" applyFont="1" applyBorder="1"/>
    <xf numFmtId="165" fontId="15" fillId="5" borderId="32" xfId="0" applyNumberFormat="1" applyFont="1" applyFill="1" applyBorder="1" applyAlignment="1">
      <alignment horizontal="center"/>
    </xf>
    <xf numFmtId="165" fontId="15" fillId="5" borderId="34" xfId="0" applyNumberFormat="1" applyFont="1" applyFill="1" applyBorder="1" applyAlignment="1">
      <alignment horizontal="center"/>
    </xf>
    <xf numFmtId="165" fontId="15" fillId="5" borderId="42" xfId="0" applyNumberFormat="1" applyFont="1" applyFill="1" applyBorder="1" applyAlignment="1">
      <alignment horizontal="center"/>
    </xf>
    <xf numFmtId="0" fontId="20" fillId="0" borderId="2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0" fillId="0" borderId="29" xfId="0" applyBorder="1" applyAlignment="1"/>
    <xf numFmtId="0" fontId="8" fillId="0" borderId="32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4" xfId="0" applyFont="1" applyBorder="1" applyAlignment="1"/>
    <xf numFmtId="0" fontId="8" fillId="0" borderId="42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165" fontId="8" fillId="0" borderId="47" xfId="0" applyNumberFormat="1" applyFont="1" applyBorder="1" applyAlignment="1">
      <alignment horizontal="center"/>
    </xf>
    <xf numFmtId="165" fontId="8" fillId="0" borderId="48" xfId="0" applyNumberFormat="1" applyFont="1" applyBorder="1" applyAlignment="1">
      <alignment horizontal="center"/>
    </xf>
    <xf numFmtId="165" fontId="8" fillId="0" borderId="39" xfId="0" applyNumberFormat="1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3" borderId="40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8" fillId="0" borderId="50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0" xfId="0" applyBorder="1" applyAlignment="1">
      <alignment horizontal="right"/>
    </xf>
    <xf numFmtId="0" fontId="0" fillId="0" borderId="51" xfId="0" applyBorder="1" applyAlignment="1">
      <alignment horizontal="right"/>
    </xf>
    <xf numFmtId="0" fontId="1" fillId="0" borderId="40" xfId="0" applyFont="1" applyBorder="1" applyAlignment="1">
      <alignment horizontal="right"/>
    </xf>
    <xf numFmtId="0" fontId="0" fillId="0" borderId="53" xfId="0" applyBorder="1" applyAlignment="1">
      <alignment horizontal="right"/>
    </xf>
    <xf numFmtId="0" fontId="0" fillId="0" borderId="46" xfId="0" applyBorder="1" applyAlignment="1"/>
    <xf numFmtId="0" fontId="0" fillId="0" borderId="41" xfId="0" applyBorder="1" applyAlignment="1"/>
    <xf numFmtId="165" fontId="0" fillId="0" borderId="6" xfId="0" applyNumberFormat="1" applyBorder="1" applyAlignment="1">
      <alignment horizontal="center" wrapText="1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8" fillId="0" borderId="40" xfId="0" applyFont="1" applyBorder="1" applyAlignment="1">
      <alignment horizontal="center" wrapText="1"/>
    </xf>
    <xf numFmtId="0" fontId="0" fillId="0" borderId="53" xfId="0" applyBorder="1" applyAlignment="1">
      <alignment horizontal="center"/>
    </xf>
    <xf numFmtId="164" fontId="10" fillId="0" borderId="47" xfId="0" applyNumberFormat="1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64" fontId="2" fillId="2" borderId="1" xfId="0" applyNumberFormat="1" applyFont="1" applyFill="1" applyBorder="1" applyAlignment="1"/>
    <xf numFmtId="0" fontId="0" fillId="0" borderId="1" xfId="0" applyBorder="1" applyAlignment="1"/>
    <xf numFmtId="0" fontId="8" fillId="0" borderId="42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1" xfId="0" applyBorder="1" applyAlignment="1">
      <alignment horizontal="left"/>
    </xf>
    <xf numFmtId="0" fontId="8" fillId="3" borderId="55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17" fillId="3" borderId="40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7" fillId="0" borderId="40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5" fillId="0" borderId="46" xfId="0" applyFont="1" applyBorder="1" applyAlignment="1"/>
    <xf numFmtId="0" fontId="15" fillId="0" borderId="41" xfId="0" applyFont="1" applyBorder="1" applyAlignment="1"/>
    <xf numFmtId="0" fontId="15" fillId="0" borderId="41" xfId="0" applyFont="1" applyBorder="1" applyAlignment="1">
      <alignment horizontal="center"/>
    </xf>
    <xf numFmtId="0" fontId="17" fillId="0" borderId="46" xfId="0" applyFont="1" applyBorder="1" applyAlignment="1">
      <alignment horizontal="center"/>
    </xf>
    <xf numFmtId="0" fontId="17" fillId="0" borderId="41" xfId="0" applyFont="1" applyBorder="1" applyAlignment="1">
      <alignment horizontal="center"/>
    </xf>
    <xf numFmtId="165" fontId="17" fillId="0" borderId="47" xfId="0" applyNumberFormat="1" applyFont="1" applyBorder="1" applyAlignment="1">
      <alignment horizontal="center"/>
    </xf>
    <xf numFmtId="165" fontId="17" fillId="0" borderId="48" xfId="0" applyNumberFormat="1" applyFont="1" applyBorder="1" applyAlignment="1">
      <alignment horizontal="center"/>
    </xf>
    <xf numFmtId="165" fontId="17" fillId="0" borderId="39" xfId="0" applyNumberFormat="1" applyFont="1" applyBorder="1" applyAlignment="1">
      <alignment horizontal="center"/>
    </xf>
    <xf numFmtId="0" fontId="17" fillId="0" borderId="40" xfId="0" applyFont="1" applyBorder="1" applyAlignment="1">
      <alignment horizontal="center" wrapText="1"/>
    </xf>
    <xf numFmtId="0" fontId="15" fillId="0" borderId="53" xfId="0" applyFont="1" applyBorder="1" applyAlignment="1">
      <alignment horizontal="center"/>
    </xf>
    <xf numFmtId="0" fontId="18" fillId="0" borderId="0" xfId="0" applyFont="1" applyBorder="1" applyAlignment="1" applyProtection="1">
      <alignment horizontal="center" vertical="center"/>
    </xf>
    <xf numFmtId="0" fontId="17" fillId="3" borderId="55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9" fillId="0" borderId="40" xfId="0" applyFont="1" applyBorder="1" applyAlignment="1">
      <alignment horizontal="right"/>
    </xf>
    <xf numFmtId="0" fontId="15" fillId="0" borderId="53" xfId="0" applyFont="1" applyBorder="1" applyAlignment="1">
      <alignment horizontal="right"/>
    </xf>
    <xf numFmtId="0" fontId="15" fillId="0" borderId="50" xfId="0" applyFont="1" applyBorder="1" applyAlignment="1">
      <alignment horizontal="right"/>
    </xf>
    <xf numFmtId="0" fontId="15" fillId="0" borderId="51" xfId="0" applyFont="1" applyBorder="1" applyAlignment="1">
      <alignment horizontal="right"/>
    </xf>
    <xf numFmtId="0" fontId="17" fillId="0" borderId="50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0" fontId="17" fillId="0" borderId="52" xfId="0" applyFont="1" applyBorder="1" applyAlignment="1">
      <alignment horizontal="center"/>
    </xf>
    <xf numFmtId="0" fontId="15" fillId="0" borderId="45" xfId="0" applyFont="1" applyBorder="1" applyAlignment="1">
      <alignment horizontal="center" vertical="center"/>
    </xf>
    <xf numFmtId="164" fontId="14" fillId="0" borderId="47" xfId="0" applyNumberFormat="1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wrapText="1"/>
    </xf>
    <xf numFmtId="165" fontId="15" fillId="0" borderId="6" xfId="0" applyNumberFormat="1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0" fontId="23" fillId="0" borderId="4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4" fontId="16" fillId="2" borderId="1" xfId="0" applyNumberFormat="1" applyFont="1" applyFill="1" applyBorder="1" applyAlignment="1"/>
    <xf numFmtId="0" fontId="15" fillId="0" borderId="1" xfId="0" applyFont="1" applyBorder="1" applyAlignment="1"/>
    <xf numFmtId="0" fontId="17" fillId="0" borderId="32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42" xfId="0" applyFont="1" applyBorder="1" applyAlignment="1">
      <alignment horizontal="center"/>
    </xf>
    <xf numFmtId="0" fontId="17" fillId="0" borderId="34" xfId="0" applyFont="1" applyBorder="1" applyAlignment="1"/>
    <xf numFmtId="0" fontId="17" fillId="0" borderId="42" xfId="0" applyFont="1" applyBorder="1" applyAlignment="1"/>
    <xf numFmtId="0" fontId="17" fillId="0" borderId="54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5" fillId="0" borderId="29" xfId="0" applyFont="1" applyBorder="1" applyAlignment="1"/>
    <xf numFmtId="0" fontId="0" fillId="0" borderId="9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9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TDH - RC12 ODI sheet marked "A"</a:t>
            </a:r>
            <a:br>
              <a:rPr lang="en-CA" sz="1800" b="1" i="0" baseline="0">
                <a:effectLst/>
              </a:rPr>
            </a:b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"A" 26.2mm'!$A$5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"A" 26.2mm'!$A$9:$A$21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"A" 26.2mm'!$B$9:$B$21</c:f>
              <c:numCache>
                <c:formatCode>0.0000</c:formatCode>
                <c:ptCount val="13"/>
                <c:pt idx="0">
                  <c:v>34.578919999999997</c:v>
                </c:pt>
                <c:pt idx="1">
                  <c:v>34.024158746931249</c:v>
                </c:pt>
                <c:pt idx="2">
                  <c:v>32.470848099800001</c:v>
                </c:pt>
                <c:pt idx="3">
                  <c:v>31.689462103857611</c:v>
                </c:pt>
                <c:pt idx="4">
                  <c:v>30.623455699956246</c:v>
                </c:pt>
                <c:pt idx="5">
                  <c:v>29.130005821933786</c:v>
                </c:pt>
                <c:pt idx="6">
                  <c:v>27.062060604799996</c:v>
                </c:pt>
                <c:pt idx="7">
                  <c:v>24.285252983369322</c:v>
                </c:pt>
                <c:pt idx="8">
                  <c:v>20.694814290893756</c:v>
                </c:pt>
                <c:pt idx="9">
                  <c:v>16.232487857695538</c:v>
                </c:pt>
                <c:pt idx="10">
                  <c:v>10.90344260980001</c:v>
                </c:pt>
                <c:pt idx="11">
                  <c:v>6.0704990191999997</c:v>
                </c:pt>
                <c:pt idx="12">
                  <c:v>0.82352819660003718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F3-4AD6-9E9A-224B38D4F217}"/>
            </c:ext>
          </c:extLst>
        </c:ser>
        <c:ser>
          <c:idx val="1"/>
          <c:order val="1"/>
          <c:tx>
            <c:strRef>
              <c:f>'RC12 "A" 26.2mm'!$D$6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"A" 26.2mm'!$A$11:$A$19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"A" 26.2mm'!$E$11:$E$19</c:f>
              <c:numCache>
                <c:formatCode>0.0000</c:formatCode>
                <c:ptCount val="9"/>
                <c:pt idx="0">
                  <c:v>34.288794150098845</c:v>
                </c:pt>
                <c:pt idx="1">
                  <c:v>33.570838087227592</c:v>
                </c:pt>
                <c:pt idx="2">
                  <c:v>32.624426296334313</c:v>
                </c:pt>
                <c:pt idx="3">
                  <c:v>31.325811230879737</c:v>
                </c:pt>
                <c:pt idx="4">
                  <c:v>29.542132025608542</c:v>
                </c:pt>
                <c:pt idx="5">
                  <c:v>27.145156287766291</c:v>
                </c:pt>
                <c:pt idx="6">
                  <c:v>24.025021888316367</c:v>
                </c:pt>
                <c:pt idx="7">
                  <c:v>20.103978753156863</c:v>
                </c:pt>
                <c:pt idx="8">
                  <c:v>15.350130654337521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F3-4AD6-9E9A-224B38D4F217}"/>
            </c:ext>
          </c:extLst>
        </c:ser>
        <c:ser>
          <c:idx val="2"/>
          <c:order val="2"/>
          <c:tx>
            <c:strRef>
              <c:f>'RC12 "A" 26.2mm'!$F$6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"A" 26.2mm'!$A$11:$A$19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"A" 26.2mm'!$G$11:$G$19</c:f>
              <c:numCache>
                <c:formatCode>0.0000</c:formatCode>
                <c:ptCount val="9"/>
                <c:pt idx="0">
                  <c:v>30.659498613341036</c:v>
                </c:pt>
                <c:pt idx="1">
                  <c:v>29.807079605037579</c:v>
                </c:pt>
                <c:pt idx="2">
                  <c:v>28.608632418103369</c:v>
                </c:pt>
                <c:pt idx="3">
                  <c:v>26.903546098432454</c:v>
                </c:pt>
                <c:pt idx="4">
                  <c:v>24.533748216213777</c:v>
                </c:pt>
                <c:pt idx="5">
                  <c:v>21.36421205431725</c:v>
                </c:pt>
                <c:pt idx="6">
                  <c:v>17.303463796679726</c:v>
                </c:pt>
                <c:pt idx="7">
                  <c:v>12.324089716691173</c:v>
                </c:pt>
                <c:pt idx="8">
                  <c:v>6.4832433655806634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F3-4AD6-9E9A-224B38D4F217}"/>
            </c:ext>
          </c:extLst>
        </c:ser>
        <c:ser>
          <c:idx val="3"/>
          <c:order val="3"/>
          <c:tx>
            <c:strRef>
              <c:f>'RC12 "A" 26.2mm'!$T$56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"A" 26.2mm'!$T$60:$T$72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"A" 26.2mm'!$U$60:$U$72</c:f>
              <c:numCache>
                <c:formatCode>0.0000</c:formatCode>
                <c:ptCount val="13"/>
                <c:pt idx="0">
                  <c:v>33.5443</c:v>
                </c:pt>
                <c:pt idx="1">
                  <c:v>34.090469574958433</c:v>
                </c:pt>
                <c:pt idx="2">
                  <c:v>34.452738200669998</c:v>
                </c:pt>
                <c:pt idx="3">
                  <c:v>34.047951952794271</c:v>
                </c:pt>
                <c:pt idx="4">
                  <c:v>33.119929532162196</c:v>
                </c:pt>
                <c:pt idx="5">
                  <c:v>31.533916059611165</c:v>
                </c:pt>
                <c:pt idx="6">
                  <c:v>29.189825345919992</c:v>
                </c:pt>
                <c:pt idx="7">
                  <c:v>26.039336746056961</c:v>
                </c:pt>
                <c:pt idx="8">
                  <c:v>22.102992013427802</c:v>
                </c:pt>
                <c:pt idx="9">
                  <c:v>17.487292154123864</c:v>
                </c:pt>
                <c:pt idx="10">
                  <c:v>12.401794281169998</c:v>
                </c:pt>
                <c:pt idx="11">
                  <c:v>8.2122328580799859</c:v>
                </c:pt>
                <c:pt idx="12">
                  <c:v>4.1616484071899862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F3-4AD6-9E9A-224B38D4F217}"/>
            </c:ext>
          </c:extLst>
        </c:ser>
        <c:ser>
          <c:idx val="4"/>
          <c:order val="4"/>
          <c:tx>
            <c:strRef>
              <c:f>'RC12 "A" 26.2mm'!$H$56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"A" 26.2mm'!$I$60:$I$70</c:f>
              <c:numCache>
                <c:formatCode>0.00</c:formatCode>
                <c:ptCount val="11"/>
                <c:pt idx="0">
                  <c:v>39.659999999999997</c:v>
                </c:pt>
                <c:pt idx="1">
                  <c:v>392.94</c:v>
                </c:pt>
                <c:pt idx="2">
                  <c:v>767.93</c:v>
                </c:pt>
                <c:pt idx="3">
                  <c:v>917.17</c:v>
                </c:pt>
                <c:pt idx="4">
                  <c:v>1072.0999999999999</c:v>
                </c:pt>
                <c:pt idx="5">
                  <c:v>1233.99</c:v>
                </c:pt>
                <c:pt idx="6">
                  <c:v>1364.87</c:v>
                </c:pt>
                <c:pt idx="7">
                  <c:v>1500.46</c:v>
                </c:pt>
                <c:pt idx="8">
                  <c:v>1649.37</c:v>
                </c:pt>
                <c:pt idx="9">
                  <c:v>1768.73</c:v>
                </c:pt>
                <c:pt idx="10">
                  <c:v>2010.44</c:v>
                </c:pt>
              </c:numCache>
            </c:numRef>
          </c:xVal>
          <c:yVal>
            <c:numRef>
              <c:f>'RC12 "A" 26.2mm'!$L$60:$L$70</c:f>
              <c:numCache>
                <c:formatCode>0.00</c:formatCode>
                <c:ptCount val="11"/>
                <c:pt idx="0">
                  <c:v>33.56</c:v>
                </c:pt>
                <c:pt idx="1">
                  <c:v>34.31</c:v>
                </c:pt>
                <c:pt idx="2">
                  <c:v>33.9</c:v>
                </c:pt>
                <c:pt idx="3">
                  <c:v>33.450000000000003</c:v>
                </c:pt>
                <c:pt idx="4">
                  <c:v>32.1</c:v>
                </c:pt>
                <c:pt idx="5">
                  <c:v>28.29</c:v>
                </c:pt>
                <c:pt idx="6">
                  <c:v>24.83</c:v>
                </c:pt>
                <c:pt idx="7">
                  <c:v>20.149999999999999</c:v>
                </c:pt>
                <c:pt idx="8">
                  <c:v>14.28</c:v>
                </c:pt>
                <c:pt idx="9">
                  <c:v>9.86</c:v>
                </c:pt>
                <c:pt idx="10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F3-4AD6-9E9A-224B38D4F217}"/>
            </c:ext>
          </c:extLst>
        </c:ser>
        <c:ser>
          <c:idx val="5"/>
          <c:order val="5"/>
          <c:tx>
            <c:strRef>
              <c:f>'RC12 "A" 26.2mm'!$J$8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"A" 26.2mm'!$K$9:$K$10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F3-4AD6-9E9A-224B38D4F217}"/>
            </c:ext>
          </c:extLst>
        </c:ser>
        <c:ser>
          <c:idx val="6"/>
          <c:order val="6"/>
          <c:tx>
            <c:strRef>
              <c:f>'RC12 "A" 26.2mm'!$J$11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"A" 26.2mm'!$K$12:$K$13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5F3-4AD6-9E9A-224B38D4F217}"/>
            </c:ext>
          </c:extLst>
        </c:ser>
        <c:ser>
          <c:idx val="7"/>
          <c:order val="7"/>
          <c:tx>
            <c:strRef>
              <c:f>'RC12 "A" 26.2mm'!$J$14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"A" 26.2mm'!$K$15:$K$16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5F3-4AD6-9E9A-224B38D4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0.16074502315117586"/>
          <c:w val="0.28469109630526956"/>
          <c:h val="0.83079760378789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EFFICIENCY - RC12 ODI sheet marked "B"</a:t>
            </a:r>
            <a:endParaRPr lang="en-CA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"B" original mm'!$T$56:$W$56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'RC12 "B" original mm'!$T$62:$T$70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"B" original mm'!$W$62:$W$70</c:f>
              <c:numCache>
                <c:formatCode>0.0</c:formatCode>
                <c:ptCount val="9"/>
                <c:pt idx="0">
                  <c:v>43.330378377279239</c:v>
                </c:pt>
                <c:pt idx="1">
                  <c:v>47.829624966755716</c:v>
                </c:pt>
                <c:pt idx="2">
                  <c:v>51.992551885418472</c:v>
                </c:pt>
                <c:pt idx="3">
                  <c:v>55.384443478933363</c:v>
                </c:pt>
                <c:pt idx="4">
                  <c:v>57.301978774655574</c:v>
                </c:pt>
                <c:pt idx="5">
                  <c:v>56.873798821070885</c:v>
                </c:pt>
                <c:pt idx="6">
                  <c:v>53.266347873823293</c:v>
                </c:pt>
                <c:pt idx="7">
                  <c:v>45.993238939077095</c:v>
                </c:pt>
                <c:pt idx="8">
                  <c:v>35.22722338329006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E8-45E1-8B70-5679E3690B12}"/>
            </c:ext>
          </c:extLst>
        </c:ser>
        <c:ser>
          <c:idx val="1"/>
          <c:order val="1"/>
          <c:tx>
            <c:strRef>
              <c:f>'RC12 "B" original mm'!$X$57:$AB$57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'RC12 "B" original mm'!$T$66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"B" original mm'!$AB$66</c:f>
              <c:numCache>
                <c:formatCode>0.0</c:formatCode>
                <c:ptCount val="1"/>
                <c:pt idx="0">
                  <c:v>57.278896193482765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8-45E1-8B70-5679E3690B12}"/>
            </c:ext>
          </c:extLst>
        </c:ser>
        <c:ser>
          <c:idx val="2"/>
          <c:order val="2"/>
          <c:tx>
            <c:strRef>
              <c:f>'RC12 "B" original mm'!$Q$56:$S$56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'RC12 "B" original mm'!$T$66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"B" original mm'!$I$3</c:f>
              <c:numCache>
                <c:formatCode>0.0</c:formatCode>
                <c:ptCount val="1"/>
                <c:pt idx="0">
                  <c:v>63.643217992758629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E8-45E1-8B70-5679E3690B12}"/>
            </c:ext>
          </c:extLst>
        </c:ser>
        <c:ser>
          <c:idx val="3"/>
          <c:order val="3"/>
          <c:tx>
            <c:strRef>
              <c:f>'RC12 "B" original 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"B" original mm'!$M$9:$M$10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E8-45E1-8B70-5679E3690B12}"/>
            </c:ext>
          </c:extLst>
        </c:ser>
        <c:ser>
          <c:idx val="5"/>
          <c:order val="4"/>
          <c:tx>
            <c:strRef>
              <c:f>'RC12 "B" original 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"B" original mm'!$M$15:$M$16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E8-45E1-8B70-5679E3690B12}"/>
            </c:ext>
          </c:extLst>
        </c:ser>
        <c:ser>
          <c:idx val="4"/>
          <c:order val="5"/>
          <c:tx>
            <c:strRef>
              <c:f>'RC12 "B" original 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"B" original mm'!$M$12:$M$13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E8-45E1-8B70-5679E3690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  <c:max val="20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0466813291131802"/>
          <c:h val="0.28040549657660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/>
              <a:t>TDH - RC12 ODI sheet</a:t>
            </a:r>
            <a:r>
              <a:rPr lang="en-CA" sz="1600" baseline="0"/>
              <a:t> marked "C"</a:t>
            </a:r>
            <a:r>
              <a:rPr lang="en-CA" sz="1600"/>
              <a:t>
3500rpm, SG=1</a:t>
            </a: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"C" 25.6mm'!$A$5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"C" 25.6mm'!$A$9:$A$21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"C" 25.6mm'!$B$9:$B$21</c:f>
              <c:numCache>
                <c:formatCode>0.0000</c:formatCode>
                <c:ptCount val="13"/>
                <c:pt idx="0">
                  <c:v>34.578919999999997</c:v>
                </c:pt>
                <c:pt idx="1">
                  <c:v>34.024158746931249</c:v>
                </c:pt>
                <c:pt idx="2">
                  <c:v>32.470848099800001</c:v>
                </c:pt>
                <c:pt idx="3">
                  <c:v>31.689462103857611</c:v>
                </c:pt>
                <c:pt idx="4">
                  <c:v>30.623455699956246</c:v>
                </c:pt>
                <c:pt idx="5">
                  <c:v>29.130005821933786</c:v>
                </c:pt>
                <c:pt idx="6">
                  <c:v>27.062060604799996</c:v>
                </c:pt>
                <c:pt idx="7">
                  <c:v>24.285252983369322</c:v>
                </c:pt>
                <c:pt idx="8">
                  <c:v>20.694814290893756</c:v>
                </c:pt>
                <c:pt idx="9">
                  <c:v>16.232487857695538</c:v>
                </c:pt>
                <c:pt idx="10">
                  <c:v>10.90344260980001</c:v>
                </c:pt>
                <c:pt idx="11">
                  <c:v>6.0704990191999997</c:v>
                </c:pt>
                <c:pt idx="12">
                  <c:v>0.82352819660003718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85-43E9-8DCC-885D904E20BE}"/>
            </c:ext>
          </c:extLst>
        </c:ser>
        <c:ser>
          <c:idx val="1"/>
          <c:order val="1"/>
          <c:tx>
            <c:strRef>
              <c:f>'RC12 "C" 25.6mm'!$D$6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"C" 25.6mm'!$A$11:$A$19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"C" 25.6mm'!$E$11:$E$19</c:f>
              <c:numCache>
                <c:formatCode>0.0000</c:formatCode>
                <c:ptCount val="9"/>
                <c:pt idx="0">
                  <c:v>34.288794150098845</c:v>
                </c:pt>
                <c:pt idx="1">
                  <c:v>33.570838087227592</c:v>
                </c:pt>
                <c:pt idx="2">
                  <c:v>32.624426296334313</c:v>
                </c:pt>
                <c:pt idx="3">
                  <c:v>31.325811230879737</c:v>
                </c:pt>
                <c:pt idx="4">
                  <c:v>29.542132025608542</c:v>
                </c:pt>
                <c:pt idx="5">
                  <c:v>27.145156287766291</c:v>
                </c:pt>
                <c:pt idx="6">
                  <c:v>24.025021888316367</c:v>
                </c:pt>
                <c:pt idx="7">
                  <c:v>20.103978753156863</c:v>
                </c:pt>
                <c:pt idx="8">
                  <c:v>15.350130654337521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85-43E9-8DCC-885D904E20BE}"/>
            </c:ext>
          </c:extLst>
        </c:ser>
        <c:ser>
          <c:idx val="2"/>
          <c:order val="2"/>
          <c:tx>
            <c:strRef>
              <c:f>'RC12 "C" 25.6mm'!$F$6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"C" 25.6mm'!$A$11:$A$19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"C" 25.6mm'!$G$11:$G$19</c:f>
              <c:numCache>
                <c:formatCode>0.0000</c:formatCode>
                <c:ptCount val="9"/>
                <c:pt idx="0">
                  <c:v>30.659498613341036</c:v>
                </c:pt>
                <c:pt idx="1">
                  <c:v>29.807079605037579</c:v>
                </c:pt>
                <c:pt idx="2">
                  <c:v>28.608632418103369</c:v>
                </c:pt>
                <c:pt idx="3">
                  <c:v>26.903546098432454</c:v>
                </c:pt>
                <c:pt idx="4">
                  <c:v>24.533748216213777</c:v>
                </c:pt>
                <c:pt idx="5">
                  <c:v>21.36421205431725</c:v>
                </c:pt>
                <c:pt idx="6">
                  <c:v>17.303463796679726</c:v>
                </c:pt>
                <c:pt idx="7">
                  <c:v>12.324089716691173</c:v>
                </c:pt>
                <c:pt idx="8">
                  <c:v>6.4832433655806634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85-43E9-8DCC-885D904E20BE}"/>
            </c:ext>
          </c:extLst>
        </c:ser>
        <c:ser>
          <c:idx val="3"/>
          <c:order val="3"/>
          <c:tx>
            <c:strRef>
              <c:f>'RC12 "C" 25.6mm'!$T$56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"C" 25.6mm'!$T$60:$T$72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"C" 25.6mm'!$U$60:$U$72</c:f>
              <c:numCache>
                <c:formatCode>0.0000</c:formatCode>
                <c:ptCount val="13"/>
                <c:pt idx="0">
                  <c:v>34.197009999999999</c:v>
                </c:pt>
                <c:pt idx="1">
                  <c:v>34.792623674945624</c:v>
                </c:pt>
                <c:pt idx="2">
                  <c:v>34.410639725260005</c:v>
                </c:pt>
                <c:pt idx="3">
                  <c:v>33.668144460298578</c:v>
                </c:pt>
                <c:pt idx="4">
                  <c:v>32.477391210088129</c:v>
                </c:pt>
                <c:pt idx="5">
                  <c:v>30.777058731489007</c:v>
                </c:pt>
                <c:pt idx="6">
                  <c:v>28.526746389760003</c:v>
                </c:pt>
                <c:pt idx="7">
                  <c:v>25.712481670765371</c:v>
                </c:pt>
                <c:pt idx="8">
                  <c:v>22.352227693181874</c:v>
                </c:pt>
                <c:pt idx="9">
                  <c:v>18.501390720705793</c:v>
                </c:pt>
                <c:pt idx="10">
                  <c:v>14.258327674259998</c:v>
                </c:pt>
                <c:pt idx="11">
                  <c:v>10.678365370240002</c:v>
                </c:pt>
                <c:pt idx="12">
                  <c:v>7.0400868218199975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85-43E9-8DCC-885D904E20BE}"/>
            </c:ext>
          </c:extLst>
        </c:ser>
        <c:ser>
          <c:idx val="4"/>
          <c:order val="4"/>
          <c:tx>
            <c:strRef>
              <c:f>'RC12 "C" 25.6mm'!$H$56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"C" 25.6mm'!$I$60:$I$70</c:f>
              <c:numCache>
                <c:formatCode>0.00</c:formatCode>
                <c:ptCount val="11"/>
                <c:pt idx="0">
                  <c:v>27.22</c:v>
                </c:pt>
                <c:pt idx="1">
                  <c:v>374.21</c:v>
                </c:pt>
                <c:pt idx="2">
                  <c:v>686.26</c:v>
                </c:pt>
                <c:pt idx="3">
                  <c:v>857.42</c:v>
                </c:pt>
                <c:pt idx="4">
                  <c:v>992.57</c:v>
                </c:pt>
                <c:pt idx="5">
                  <c:v>1117.3599999999999</c:v>
                </c:pt>
                <c:pt idx="6">
                  <c:v>1265.93</c:v>
                </c:pt>
                <c:pt idx="7">
                  <c:v>1399.65</c:v>
                </c:pt>
                <c:pt idx="8">
                  <c:v>1557.25</c:v>
                </c:pt>
                <c:pt idx="9">
                  <c:v>1712.95</c:v>
                </c:pt>
                <c:pt idx="10">
                  <c:v>1849.71</c:v>
                </c:pt>
              </c:numCache>
            </c:numRef>
          </c:xVal>
          <c:yVal>
            <c:numRef>
              <c:f>'RC12 "C" 25.6mm'!$L$60:$L$70</c:f>
              <c:numCache>
                <c:formatCode>0.00</c:formatCode>
                <c:ptCount val="11"/>
                <c:pt idx="0">
                  <c:v>34.22</c:v>
                </c:pt>
                <c:pt idx="1">
                  <c:v>34.94</c:v>
                </c:pt>
                <c:pt idx="2">
                  <c:v>34.159999999999997</c:v>
                </c:pt>
                <c:pt idx="3">
                  <c:v>33.380000000000003</c:v>
                </c:pt>
                <c:pt idx="4">
                  <c:v>32.33</c:v>
                </c:pt>
                <c:pt idx="5">
                  <c:v>30.27</c:v>
                </c:pt>
                <c:pt idx="6">
                  <c:v>26.76</c:v>
                </c:pt>
                <c:pt idx="7">
                  <c:v>23.54</c:v>
                </c:pt>
                <c:pt idx="8">
                  <c:v>19.420000000000002</c:v>
                </c:pt>
                <c:pt idx="9">
                  <c:v>13.68</c:v>
                </c:pt>
                <c:pt idx="10">
                  <c:v>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85-43E9-8DCC-885D904E20BE}"/>
            </c:ext>
          </c:extLst>
        </c:ser>
        <c:ser>
          <c:idx val="5"/>
          <c:order val="5"/>
          <c:tx>
            <c:strRef>
              <c:f>'RC12 "C" 25.6mm'!$J$8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"C" 25.6mm'!$K$9:$K$10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85-43E9-8DCC-885D904E20BE}"/>
            </c:ext>
          </c:extLst>
        </c:ser>
        <c:ser>
          <c:idx val="6"/>
          <c:order val="6"/>
          <c:tx>
            <c:strRef>
              <c:f>'RC12 "C" 25.6mm'!$J$11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"C" 25.6mm'!$K$12:$K$13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85-43E9-8DCC-885D904E20BE}"/>
            </c:ext>
          </c:extLst>
        </c:ser>
        <c:ser>
          <c:idx val="7"/>
          <c:order val="7"/>
          <c:tx>
            <c:strRef>
              <c:f>'RC12 "C" 25.6mm'!$J$14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"C" 25.6mm'!$K$15:$K$16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85-43E9-8DCC-885D904E2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0.16074502315117586"/>
          <c:w val="0.28469109630526956"/>
          <c:h val="0.83079760378789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/>
              <a:t>BRAKE POWER - RC12 ODI </a:t>
            </a:r>
            <a:r>
              <a:rPr lang="en-CA" sz="1600" b="1" i="0" u="none" strike="noStrike" baseline="0">
                <a:effectLst/>
              </a:rPr>
              <a:t>sheet marked "C"</a:t>
            </a:r>
            <a:r>
              <a:rPr lang="en-CA" sz="1600"/>
              <a:t>
3500rpm, SG=1</a:t>
            </a: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'RC12 "C" 25.6mm'!$A$5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"C" 25.6mm'!$A$9:$A$21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"C" 25.6mm'!$C$9:$C$21</c:f>
              <c:numCache>
                <c:formatCode>0.0000</c:formatCode>
                <c:ptCount val="13"/>
                <c:pt idx="0">
                  <c:v>0.25501099999999999</c:v>
                </c:pt>
                <c:pt idx="1">
                  <c:v>0.29064644929765621</c:v>
                </c:pt>
                <c:pt idx="2">
                  <c:v>0.33873762042499994</c:v>
                </c:pt>
                <c:pt idx="3">
                  <c:v>0.35255181358210447</c:v>
                </c:pt>
                <c:pt idx="4">
                  <c:v>0.36344069891328118</c:v>
                </c:pt>
                <c:pt idx="5">
                  <c:v>0.37117844488166507</c:v>
                </c:pt>
                <c:pt idx="6">
                  <c:v>0.37581834079999993</c:v>
                </c:pt>
                <c:pt idx="7">
                  <c:v>0.37764609578083502</c:v>
                </c:pt>
                <c:pt idx="8">
                  <c:v>0.37713313768671869</c:v>
                </c:pt>
                <c:pt idx="9">
                  <c:v>0.37488991208039563</c:v>
                </c:pt>
                <c:pt idx="10">
                  <c:v>0.37161918117500009</c:v>
                </c:pt>
                <c:pt idx="11">
                  <c:v>0.3687653623999998</c:v>
                </c:pt>
                <c:pt idx="12">
                  <c:v>0.36611774412499992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9-4E10-B6E0-B8C5A5F29DB9}"/>
            </c:ext>
          </c:extLst>
        </c:ser>
        <c:ser>
          <c:idx val="0"/>
          <c:order val="1"/>
          <c:tx>
            <c:strRef>
              <c:f>'RC12 "C" 25.6mm'!$H$7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"C" 25.6mm'!$A$11:$A$19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"C" 25.6mm'!$H$11:$H$19</c:f>
              <c:numCache>
                <c:formatCode>0.0000</c:formatCode>
                <c:ptCount val="9"/>
                <c:pt idx="0">
                  <c:v>0.31163861079099997</c:v>
                </c:pt>
                <c:pt idx="1">
                  <c:v>0.32434766849553615</c:v>
                </c:pt>
                <c:pt idx="2">
                  <c:v>0.3343654430002187</c:v>
                </c:pt>
                <c:pt idx="3">
                  <c:v>0.3414841692911319</c:v>
                </c:pt>
                <c:pt idx="4">
                  <c:v>0.34575287353599993</c:v>
                </c:pt>
                <c:pt idx="5">
                  <c:v>0.34743440811836823</c:v>
                </c:pt>
                <c:pt idx="6">
                  <c:v>0.3469624866717812</c:v>
                </c:pt>
                <c:pt idx="7">
                  <c:v>0.34489871911396397</c:v>
                </c:pt>
                <c:pt idx="8">
                  <c:v>0.34188964668100008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9-4E10-B6E0-B8C5A5F29DB9}"/>
            </c:ext>
          </c:extLst>
        </c:ser>
        <c:ser>
          <c:idx val="2"/>
          <c:order val="2"/>
          <c:tx>
            <c:strRef>
              <c:f>'RC12 "C" 25.6mm'!$I$7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"C" 25.6mm'!$A$11:$A$19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"C" 25.6mm'!$I$11:$I$19</c:f>
              <c:numCache>
                <c:formatCode>0.0000</c:formatCode>
                <c:ptCount val="9"/>
                <c:pt idx="0">
                  <c:v>0.36583663005899997</c:v>
                </c:pt>
                <c:pt idx="1">
                  <c:v>0.38075595866867284</c:v>
                </c:pt>
                <c:pt idx="2">
                  <c:v>0.39251595482634372</c:v>
                </c:pt>
                <c:pt idx="3">
                  <c:v>0.4008727204721983</c:v>
                </c:pt>
                <c:pt idx="4">
                  <c:v>0.40588380806399993</c:v>
                </c:pt>
                <c:pt idx="5">
                  <c:v>0.40785778344330187</c:v>
                </c:pt>
                <c:pt idx="6">
                  <c:v>0.40730378870165623</c:v>
                </c:pt>
                <c:pt idx="7">
                  <c:v>0.40488110504682728</c:v>
                </c:pt>
                <c:pt idx="8">
                  <c:v>0.4013487156690001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99-4E10-B6E0-B8C5A5F29DB9}"/>
            </c:ext>
          </c:extLst>
        </c:ser>
        <c:ser>
          <c:idx val="3"/>
          <c:order val="3"/>
          <c:tx>
            <c:strRef>
              <c:f>'RC12 "C" 25.6mm'!$T$56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"C" 25.6mm'!$T$60:$T$72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"C" 25.6mm'!$V$60:$V$72</c:f>
              <c:numCache>
                <c:formatCode>0.0000</c:formatCode>
                <c:ptCount val="13"/>
                <c:pt idx="0">
                  <c:v>0.24524750000000001</c:v>
                </c:pt>
                <c:pt idx="1">
                  <c:v>0.28866802936928432</c:v>
                </c:pt>
                <c:pt idx="2">
                  <c:v>0.36714418788710002</c:v>
                </c:pt>
                <c:pt idx="3">
                  <c:v>0.39024612351545207</c:v>
                </c:pt>
                <c:pt idx="4">
                  <c:v>0.40863031870452182</c:v>
                </c:pt>
                <c:pt idx="5">
                  <c:v>0.42213672079158976</c:v>
                </c:pt>
                <c:pt idx="6">
                  <c:v>0.43126485416960003</c:v>
                </c:pt>
                <c:pt idx="7">
                  <c:v>0.43706631734526641</c:v>
                </c:pt>
                <c:pt idx="8">
                  <c:v>0.44103727999717834</c:v>
                </c:pt>
                <c:pt idx="9">
                  <c:v>0.44501098003390405</c:v>
                </c:pt>
                <c:pt idx="10">
                  <c:v>0.45105022065209949</c:v>
                </c:pt>
                <c:pt idx="11">
                  <c:v>0.45883567591039998</c:v>
                </c:pt>
                <c:pt idx="12">
                  <c:v>0.47047142541469944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99-4E10-B6E0-B8C5A5F29DB9}"/>
            </c:ext>
          </c:extLst>
        </c:ser>
        <c:ser>
          <c:idx val="4"/>
          <c:order val="4"/>
          <c:tx>
            <c:strRef>
              <c:f>'RC12 "C" 25.6mm'!$H$56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"C" 25.6mm'!$H$60:$H$70</c:f>
              <c:numCache>
                <c:formatCode>0.00</c:formatCode>
                <c:ptCount val="11"/>
                <c:pt idx="0">
                  <c:v>27.3</c:v>
                </c:pt>
                <c:pt idx="1">
                  <c:v>374.3</c:v>
                </c:pt>
                <c:pt idx="2">
                  <c:v>686.30000000000007</c:v>
                </c:pt>
                <c:pt idx="3">
                  <c:v>857.5</c:v>
                </c:pt>
                <c:pt idx="4">
                  <c:v>992.6</c:v>
                </c:pt>
                <c:pt idx="5">
                  <c:v>1117.3999999999999</c:v>
                </c:pt>
                <c:pt idx="6">
                  <c:v>1266</c:v>
                </c:pt>
                <c:pt idx="7">
                  <c:v>1399.6999999999998</c:v>
                </c:pt>
                <c:pt idx="8">
                  <c:v>1557.3</c:v>
                </c:pt>
                <c:pt idx="9">
                  <c:v>1713</c:v>
                </c:pt>
                <c:pt idx="10">
                  <c:v>1849.8</c:v>
                </c:pt>
              </c:numCache>
            </c:numRef>
          </c:xVal>
          <c:yVal>
            <c:numRef>
              <c:f>'RC12 "C" 25.6mm'!$N$60:$N$70</c:f>
              <c:numCache>
                <c:formatCode>0.000</c:formatCode>
                <c:ptCount val="11"/>
                <c:pt idx="0">
                  <c:v>0.24399999999999999</c:v>
                </c:pt>
                <c:pt idx="1">
                  <c:v>0.29899999999999999</c:v>
                </c:pt>
                <c:pt idx="2">
                  <c:v>0.35499999999999998</c:v>
                </c:pt>
                <c:pt idx="3">
                  <c:v>0.39400000000000002</c:v>
                </c:pt>
                <c:pt idx="4">
                  <c:v>0.41799999999999998</c:v>
                </c:pt>
                <c:pt idx="5">
                  <c:v>0.436</c:v>
                </c:pt>
                <c:pt idx="6">
                  <c:v>0.436</c:v>
                </c:pt>
                <c:pt idx="7">
                  <c:v>0.432</c:v>
                </c:pt>
                <c:pt idx="8">
                  <c:v>0.442</c:v>
                </c:pt>
                <c:pt idx="9">
                  <c:v>0.45200000000000001</c:v>
                </c:pt>
                <c:pt idx="10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99-4E10-B6E0-B8C5A5F29DB9}"/>
            </c:ext>
          </c:extLst>
        </c:ser>
        <c:ser>
          <c:idx val="5"/>
          <c:order val="5"/>
          <c:tx>
            <c:strRef>
              <c:f>'RC12 "C" 25.6mm'!$J$8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"C" 25.6mm'!$L$9:$L$10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99-4E10-B6E0-B8C5A5F29DB9}"/>
            </c:ext>
          </c:extLst>
        </c:ser>
        <c:ser>
          <c:idx val="6"/>
          <c:order val="6"/>
          <c:tx>
            <c:strRef>
              <c:f>'RC12 "C" 25.6mm'!$J$11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"C" 25.6mm'!$L$12:$L$13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99-4E10-B6E0-B8C5A5F29DB9}"/>
            </c:ext>
          </c:extLst>
        </c:ser>
        <c:ser>
          <c:idx val="7"/>
          <c:order val="7"/>
          <c:tx>
            <c:strRef>
              <c:f>'RC12 "C" 25.6mm'!$J$14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"C" 25.6mm'!$L$15:$L$16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99-4E10-B6E0-B8C5A5F29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0.7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34517858232837173"/>
          <c:w val="0.22394875549398618"/>
          <c:h val="0.407784419389436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test TDH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4.15555026619705E-2"/>
                  <c:y val="-0.50584721846167824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"C" 25.6mm'!$I$60:$I$72</c:f>
              <c:numCache>
                <c:formatCode>0.00</c:formatCode>
                <c:ptCount val="13"/>
                <c:pt idx="0">
                  <c:v>27.22</c:v>
                </c:pt>
                <c:pt idx="1">
                  <c:v>374.21</c:v>
                </c:pt>
                <c:pt idx="2">
                  <c:v>686.26</c:v>
                </c:pt>
                <c:pt idx="3">
                  <c:v>857.42</c:v>
                </c:pt>
                <c:pt idx="4">
                  <c:v>992.57</c:v>
                </c:pt>
                <c:pt idx="5">
                  <c:v>1117.3599999999999</c:v>
                </c:pt>
                <c:pt idx="6">
                  <c:v>1265.93</c:v>
                </c:pt>
                <c:pt idx="7">
                  <c:v>1399.65</c:v>
                </c:pt>
                <c:pt idx="8">
                  <c:v>1557.25</c:v>
                </c:pt>
                <c:pt idx="9">
                  <c:v>1712.95</c:v>
                </c:pt>
                <c:pt idx="10">
                  <c:v>1849.71</c:v>
                </c:pt>
                <c:pt idx="11">
                  <c:v>2102.77</c:v>
                </c:pt>
              </c:numCache>
            </c:numRef>
          </c:xVal>
          <c:yVal>
            <c:numRef>
              <c:f>'RC12 "C" 25.6mm'!$L$60:$L$72</c:f>
              <c:numCache>
                <c:formatCode>0.00</c:formatCode>
                <c:ptCount val="13"/>
                <c:pt idx="0">
                  <c:v>34.22</c:v>
                </c:pt>
                <c:pt idx="1">
                  <c:v>34.94</c:v>
                </c:pt>
                <c:pt idx="2">
                  <c:v>34.159999999999997</c:v>
                </c:pt>
                <c:pt idx="3">
                  <c:v>33.380000000000003</c:v>
                </c:pt>
                <c:pt idx="4">
                  <c:v>32.33</c:v>
                </c:pt>
                <c:pt idx="5">
                  <c:v>30.27</c:v>
                </c:pt>
                <c:pt idx="6">
                  <c:v>26.76</c:v>
                </c:pt>
                <c:pt idx="7">
                  <c:v>23.54</c:v>
                </c:pt>
                <c:pt idx="8">
                  <c:v>19.420000000000002</c:v>
                </c:pt>
                <c:pt idx="9">
                  <c:v>13.68</c:v>
                </c:pt>
                <c:pt idx="10">
                  <c:v>8.9</c:v>
                </c:pt>
                <c:pt idx="11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4C-416D-BC88-1F352198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6.8510960243701735E-3"/>
                  <c:y val="-0.14414169392214643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"C" 25.6mm'!$I$60:$I$72</c:f>
              <c:numCache>
                <c:formatCode>0.00</c:formatCode>
                <c:ptCount val="13"/>
                <c:pt idx="0">
                  <c:v>27.22</c:v>
                </c:pt>
                <c:pt idx="1">
                  <c:v>374.21</c:v>
                </c:pt>
                <c:pt idx="2">
                  <c:v>686.26</c:v>
                </c:pt>
                <c:pt idx="3">
                  <c:v>857.42</c:v>
                </c:pt>
                <c:pt idx="4">
                  <c:v>992.57</c:v>
                </c:pt>
                <c:pt idx="5">
                  <c:v>1117.3599999999999</c:v>
                </c:pt>
                <c:pt idx="6">
                  <c:v>1265.93</c:v>
                </c:pt>
                <c:pt idx="7">
                  <c:v>1399.65</c:v>
                </c:pt>
                <c:pt idx="8">
                  <c:v>1557.25</c:v>
                </c:pt>
                <c:pt idx="9">
                  <c:v>1712.95</c:v>
                </c:pt>
                <c:pt idx="10">
                  <c:v>1849.71</c:v>
                </c:pt>
                <c:pt idx="11">
                  <c:v>2102.77</c:v>
                </c:pt>
              </c:numCache>
            </c:numRef>
          </c:xVal>
          <c:yVal>
            <c:numRef>
              <c:f>'RC12 "C" 25.6mm'!$O$60:$O$72</c:f>
              <c:numCache>
                <c:formatCode>0.000</c:formatCode>
                <c:ptCount val="13"/>
                <c:pt idx="0">
                  <c:v>0.24399999999999999</c:v>
                </c:pt>
                <c:pt idx="1">
                  <c:v>0.29899999999999999</c:v>
                </c:pt>
                <c:pt idx="2">
                  <c:v>0.35499999999999998</c:v>
                </c:pt>
                <c:pt idx="3">
                  <c:v>0.39300000000000002</c:v>
                </c:pt>
                <c:pt idx="4">
                  <c:v>0.41799999999999998</c:v>
                </c:pt>
                <c:pt idx="5">
                  <c:v>0.436</c:v>
                </c:pt>
                <c:pt idx="6">
                  <c:v>0.436</c:v>
                </c:pt>
                <c:pt idx="7">
                  <c:v>0.43099999999999999</c:v>
                </c:pt>
                <c:pt idx="8">
                  <c:v>0.441</c:v>
                </c:pt>
                <c:pt idx="9">
                  <c:v>0.45200000000000001</c:v>
                </c:pt>
                <c:pt idx="10">
                  <c:v>0.46899999999999997</c:v>
                </c:pt>
                <c:pt idx="11">
                  <c:v>0.50900000000000001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10-407B-B23A-C1BF865B4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/>
              <a:t>EFFICIENCY - RC12 ODI </a:t>
            </a:r>
            <a:r>
              <a:rPr lang="en-CA" sz="1600" b="1" i="0" u="none" strike="noStrike" baseline="0">
                <a:effectLst/>
              </a:rPr>
              <a:t>sheet marked "C"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 b="1" i="0" u="none" strike="noStrike" baseline="0">
                <a:effectLst/>
              </a:rPr>
              <a:t>3500rpm, SG=1</a:t>
            </a:r>
            <a:endParaRPr lang="en-CA" sz="1600"/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"C" 25.6mm'!$T$56:$W$56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'RC12 "C" 25.6mm'!$T$62:$T$70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"C" 25.6mm'!$W$62:$W$70</c:f>
              <c:numCache>
                <c:formatCode>0.0</c:formatCode>
                <c:ptCount val="9"/>
                <c:pt idx="0">
                  <c:v>48.316196346253669</c:v>
                </c:pt>
                <c:pt idx="1">
                  <c:v>52.41711826406673</c:v>
                </c:pt>
                <c:pt idx="2">
                  <c:v>55.604861569003297</c:v>
                </c:pt>
                <c:pt idx="3">
                  <c:v>57.719299759470587</c:v>
                </c:pt>
                <c:pt idx="4">
                  <c:v>58.455856554866585</c:v>
                </c:pt>
                <c:pt idx="5">
                  <c:v>57.405187915034709</c:v>
                </c:pt>
                <c:pt idx="6">
                  <c:v>54.119293969891842</c:v>
                </c:pt>
                <c:pt idx="7">
                  <c:v>48.222843413423192</c:v>
                </c:pt>
                <c:pt idx="8">
                  <c:v>39.575938381996416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7-4168-A836-93C46C7E4B20}"/>
            </c:ext>
          </c:extLst>
        </c:ser>
        <c:ser>
          <c:idx val="1"/>
          <c:order val="1"/>
          <c:tx>
            <c:strRef>
              <c:f>'RC12 "C" 25.6mm'!$X$57:$AB$57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'RC12 "C" 25.6mm'!$T$66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"C" 25.6mm'!$AB$66</c:f>
              <c:numCache>
                <c:formatCode>0.0</c:formatCode>
                <c:ptCount val="1"/>
                <c:pt idx="0">
                  <c:v>57.278896193482765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C7-4168-A836-93C46C7E4B20}"/>
            </c:ext>
          </c:extLst>
        </c:ser>
        <c:ser>
          <c:idx val="2"/>
          <c:order val="2"/>
          <c:tx>
            <c:strRef>
              <c:f>'RC12 "C" 25.6mm'!$Q$56:$S$56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'RC12 "C" 25.6mm'!$T$66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"C" 25.6mm'!$I$3</c:f>
              <c:numCache>
                <c:formatCode>0.0</c:formatCode>
                <c:ptCount val="1"/>
                <c:pt idx="0">
                  <c:v>63.643217992758629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C7-4168-A836-93C46C7E4B20}"/>
            </c:ext>
          </c:extLst>
        </c:ser>
        <c:ser>
          <c:idx val="3"/>
          <c:order val="3"/>
          <c:tx>
            <c:strRef>
              <c:f>'RC12 "C" 25.6mm'!$J$8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"C" 25.6mm'!$M$9:$M$10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C7-4168-A836-93C46C7E4B20}"/>
            </c:ext>
          </c:extLst>
        </c:ser>
        <c:ser>
          <c:idx val="5"/>
          <c:order val="4"/>
          <c:tx>
            <c:strRef>
              <c:f>'RC12 "C" 25.6mm'!$J$14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"C" 25.6mm'!$M$15:$M$16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C7-4168-A836-93C46C7E4B20}"/>
            </c:ext>
          </c:extLst>
        </c:ser>
        <c:ser>
          <c:idx val="4"/>
          <c:order val="5"/>
          <c:tx>
            <c:strRef>
              <c:f>'RC12 "C" 25.6mm'!$J$11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"C" 25.6mm'!$M$12:$M$13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C7-4168-A836-93C46C7E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  <c:max val="20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0466813291131802"/>
          <c:h val="0.28040549657660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/>
              <a:t>TDH - RC12 ODI sheet</a:t>
            </a:r>
            <a:r>
              <a:rPr lang="en-CA" sz="1600" baseline="0"/>
              <a:t> marked "C"</a:t>
            </a:r>
            <a:r>
              <a:rPr lang="en-CA" sz="1600"/>
              <a:t>
3500rpm, SG=1</a:t>
            </a: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final July 26 2017'!$A$5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final July 26 2017'!$A$9:$A$21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final July 26 2017'!$B$9:$B$21</c:f>
              <c:numCache>
                <c:formatCode>0.0000</c:formatCode>
                <c:ptCount val="13"/>
                <c:pt idx="0">
                  <c:v>34.578919999999997</c:v>
                </c:pt>
                <c:pt idx="1">
                  <c:v>34.024158746931249</c:v>
                </c:pt>
                <c:pt idx="2">
                  <c:v>32.470848099800001</c:v>
                </c:pt>
                <c:pt idx="3">
                  <c:v>31.689462103857611</c:v>
                </c:pt>
                <c:pt idx="4">
                  <c:v>30.623455699956246</c:v>
                </c:pt>
                <c:pt idx="5">
                  <c:v>29.130005821933786</c:v>
                </c:pt>
                <c:pt idx="6">
                  <c:v>27.062060604799996</c:v>
                </c:pt>
                <c:pt idx="7">
                  <c:v>24.285252983369322</c:v>
                </c:pt>
                <c:pt idx="8">
                  <c:v>20.694814290893756</c:v>
                </c:pt>
                <c:pt idx="9">
                  <c:v>16.232487857695538</c:v>
                </c:pt>
                <c:pt idx="10">
                  <c:v>10.90344260980001</c:v>
                </c:pt>
                <c:pt idx="11">
                  <c:v>6.0704990191999997</c:v>
                </c:pt>
                <c:pt idx="12">
                  <c:v>0.82352819660003718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02-4317-9597-93C5DE52C29D}"/>
            </c:ext>
          </c:extLst>
        </c:ser>
        <c:ser>
          <c:idx val="1"/>
          <c:order val="1"/>
          <c:tx>
            <c:strRef>
              <c:f>'RC12 final July 26 2017'!$D$6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final July 26 2017'!$A$11:$A$19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final July 26 2017'!$E$11:$E$19</c:f>
              <c:numCache>
                <c:formatCode>0.0000</c:formatCode>
                <c:ptCount val="9"/>
                <c:pt idx="0">
                  <c:v>34.288794150098845</c:v>
                </c:pt>
                <c:pt idx="1">
                  <c:v>33.570838087227592</c:v>
                </c:pt>
                <c:pt idx="2">
                  <c:v>32.624426296334313</c:v>
                </c:pt>
                <c:pt idx="3">
                  <c:v>31.325811230879737</c:v>
                </c:pt>
                <c:pt idx="4">
                  <c:v>29.542132025608542</c:v>
                </c:pt>
                <c:pt idx="5">
                  <c:v>27.145156287766291</c:v>
                </c:pt>
                <c:pt idx="6">
                  <c:v>24.025021888316367</c:v>
                </c:pt>
                <c:pt idx="7">
                  <c:v>20.103978753156863</c:v>
                </c:pt>
                <c:pt idx="8">
                  <c:v>15.350130654337521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02-4317-9597-93C5DE52C29D}"/>
            </c:ext>
          </c:extLst>
        </c:ser>
        <c:ser>
          <c:idx val="2"/>
          <c:order val="2"/>
          <c:tx>
            <c:strRef>
              <c:f>'RC12 final July 26 2017'!$F$6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final July 26 2017'!$A$11:$A$19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final July 26 2017'!$G$11:$G$19</c:f>
              <c:numCache>
                <c:formatCode>0.0000</c:formatCode>
                <c:ptCount val="9"/>
                <c:pt idx="0">
                  <c:v>30.659498613341036</c:v>
                </c:pt>
                <c:pt idx="1">
                  <c:v>29.807079605037579</c:v>
                </c:pt>
                <c:pt idx="2">
                  <c:v>28.608632418103369</c:v>
                </c:pt>
                <c:pt idx="3">
                  <c:v>26.903546098432454</c:v>
                </c:pt>
                <c:pt idx="4">
                  <c:v>24.533748216213777</c:v>
                </c:pt>
                <c:pt idx="5">
                  <c:v>21.36421205431725</c:v>
                </c:pt>
                <c:pt idx="6">
                  <c:v>17.303463796679726</c:v>
                </c:pt>
                <c:pt idx="7">
                  <c:v>12.324089716691173</c:v>
                </c:pt>
                <c:pt idx="8">
                  <c:v>6.4832433655806634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02-4317-9597-93C5DE52C29D}"/>
            </c:ext>
          </c:extLst>
        </c:ser>
        <c:ser>
          <c:idx val="3"/>
          <c:order val="3"/>
          <c:tx>
            <c:strRef>
              <c:f>'RC12 final July 26 2017'!$T$56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final July 26 2017'!$T$60:$T$72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final July 26 2017'!$U$60:$U$72</c:f>
              <c:numCache>
                <c:formatCode>0.0000</c:formatCode>
                <c:ptCount val="13"/>
                <c:pt idx="0">
                  <c:v>36.152349999999998</c:v>
                </c:pt>
                <c:pt idx="1">
                  <c:v>36.251157285084368</c:v>
                </c:pt>
                <c:pt idx="2">
                  <c:v>35.861532179700006</c:v>
                </c:pt>
                <c:pt idx="3">
                  <c:v>35.061253102143844</c:v>
                </c:pt>
                <c:pt idx="4">
                  <c:v>33.814827840871864</c:v>
                </c:pt>
                <c:pt idx="5">
                  <c:v>32.098017238535441</c:v>
                </c:pt>
                <c:pt idx="6">
                  <c:v>29.903932787200006</c:v>
                </c:pt>
                <c:pt idx="7">
                  <c:v>27.236967817309861</c:v>
                </c:pt>
                <c:pt idx="8">
                  <c:v>24.106728686653131</c:v>
                </c:pt>
                <c:pt idx="9">
                  <c:v>20.521965969326455</c:v>
                </c:pt>
                <c:pt idx="10">
                  <c:v>16.4845056447</c:v>
                </c:pt>
                <c:pt idx="11">
                  <c:v>12.921682148800013</c:v>
                </c:pt>
                <c:pt idx="12">
                  <c:v>9.0481290848999905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02-4317-9597-93C5DE52C29D}"/>
            </c:ext>
          </c:extLst>
        </c:ser>
        <c:ser>
          <c:idx val="4"/>
          <c:order val="4"/>
          <c:tx>
            <c:strRef>
              <c:f>'RC12 final July 26 2017'!$H$56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final July 26 2017'!$I$60:$I$67</c:f>
              <c:numCache>
                <c:formatCode>0.00</c:formatCode>
                <c:ptCount val="8"/>
                <c:pt idx="0">
                  <c:v>30.41</c:v>
                </c:pt>
                <c:pt idx="1">
                  <c:v>889.76</c:v>
                </c:pt>
                <c:pt idx="2">
                  <c:v>1082.22</c:v>
                </c:pt>
                <c:pt idx="3">
                  <c:v>1202.1500000000001</c:v>
                </c:pt>
                <c:pt idx="4">
                  <c:v>1373.73</c:v>
                </c:pt>
                <c:pt idx="5">
                  <c:v>1490.7</c:v>
                </c:pt>
                <c:pt idx="6">
                  <c:v>1624.74</c:v>
                </c:pt>
                <c:pt idx="7">
                  <c:v>2102.02</c:v>
                </c:pt>
              </c:numCache>
            </c:numRef>
          </c:xVal>
          <c:yVal>
            <c:numRef>
              <c:f>'RC12 final July 26 2017'!$L$60:$L$67</c:f>
              <c:numCache>
                <c:formatCode>0.00</c:formatCode>
                <c:ptCount val="8"/>
                <c:pt idx="0">
                  <c:v>36.068703703703704</c:v>
                </c:pt>
                <c:pt idx="1">
                  <c:v>34.443148148148147</c:v>
                </c:pt>
                <c:pt idx="2">
                  <c:v>32.114629629629633</c:v>
                </c:pt>
                <c:pt idx="3">
                  <c:v>29.755925925925926</c:v>
                </c:pt>
                <c:pt idx="4">
                  <c:v>25.948703703703703</c:v>
                </c:pt>
                <c:pt idx="5">
                  <c:v>23.193888888888889</c:v>
                </c:pt>
                <c:pt idx="6">
                  <c:v>18.891481481481481</c:v>
                </c:pt>
                <c:pt idx="7">
                  <c:v>0.16592592592592595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02-4317-9597-93C5DE52C29D}"/>
            </c:ext>
          </c:extLst>
        </c:ser>
        <c:ser>
          <c:idx val="5"/>
          <c:order val="5"/>
          <c:tx>
            <c:strRef>
              <c:f>'RC12 final July 26 2017'!$J$8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final July 26 2017'!$K$9:$K$10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A02-4317-9597-93C5DE52C29D}"/>
            </c:ext>
          </c:extLst>
        </c:ser>
        <c:ser>
          <c:idx val="6"/>
          <c:order val="6"/>
          <c:tx>
            <c:strRef>
              <c:f>'RC12 final July 26 2017'!$J$11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final July 26 2017'!$K$12:$K$13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A02-4317-9597-93C5DE52C29D}"/>
            </c:ext>
          </c:extLst>
        </c:ser>
        <c:ser>
          <c:idx val="7"/>
          <c:order val="7"/>
          <c:tx>
            <c:strRef>
              <c:f>'RC12 final July 26 2017'!$J$14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final July 26 2017'!$K$15:$K$16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A02-4317-9597-93C5DE52C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0.16074502315117586"/>
          <c:w val="0.28469109630526956"/>
          <c:h val="0.83079760378789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/>
              <a:t>BRAKE POWER - RC12 ODI </a:t>
            </a:r>
            <a:r>
              <a:rPr lang="en-CA" sz="1600" b="1" i="0" u="none" strike="noStrike" baseline="0">
                <a:effectLst/>
              </a:rPr>
              <a:t>sheet marked "C"</a:t>
            </a:r>
            <a:r>
              <a:rPr lang="en-CA" sz="1600"/>
              <a:t>
3500rpm, SG=1</a:t>
            </a: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'RC12 final July 26 2017'!$A$5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final July 26 2017'!$A$9:$A$21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final July 26 2017'!$C$9:$C$21</c:f>
              <c:numCache>
                <c:formatCode>0.0000</c:formatCode>
                <c:ptCount val="13"/>
                <c:pt idx="0">
                  <c:v>0.25501099999999999</c:v>
                </c:pt>
                <c:pt idx="1">
                  <c:v>0.29064644929765621</c:v>
                </c:pt>
                <c:pt idx="2">
                  <c:v>0.33873762042499994</c:v>
                </c:pt>
                <c:pt idx="3">
                  <c:v>0.35255181358210447</c:v>
                </c:pt>
                <c:pt idx="4">
                  <c:v>0.36344069891328118</c:v>
                </c:pt>
                <c:pt idx="5">
                  <c:v>0.37117844488166507</c:v>
                </c:pt>
                <c:pt idx="6">
                  <c:v>0.37581834079999993</c:v>
                </c:pt>
                <c:pt idx="7">
                  <c:v>0.37764609578083502</c:v>
                </c:pt>
                <c:pt idx="8">
                  <c:v>0.37713313768671869</c:v>
                </c:pt>
                <c:pt idx="9">
                  <c:v>0.37488991208039563</c:v>
                </c:pt>
                <c:pt idx="10">
                  <c:v>0.37161918117500009</c:v>
                </c:pt>
                <c:pt idx="11">
                  <c:v>0.3687653623999998</c:v>
                </c:pt>
                <c:pt idx="12">
                  <c:v>0.36611774412499992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60-4D75-B40C-CC9B3A170D28}"/>
            </c:ext>
          </c:extLst>
        </c:ser>
        <c:ser>
          <c:idx val="0"/>
          <c:order val="1"/>
          <c:tx>
            <c:strRef>
              <c:f>'RC12 final July 26 2017'!$H$7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final July 26 2017'!$A$11:$A$19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final July 26 2017'!$H$11:$H$19</c:f>
              <c:numCache>
                <c:formatCode>0.0000</c:formatCode>
                <c:ptCount val="9"/>
                <c:pt idx="0">
                  <c:v>0.31163861079099997</c:v>
                </c:pt>
                <c:pt idx="1">
                  <c:v>0.32434766849553615</c:v>
                </c:pt>
                <c:pt idx="2">
                  <c:v>0.3343654430002187</c:v>
                </c:pt>
                <c:pt idx="3">
                  <c:v>0.3414841692911319</c:v>
                </c:pt>
                <c:pt idx="4">
                  <c:v>0.34575287353599993</c:v>
                </c:pt>
                <c:pt idx="5">
                  <c:v>0.34743440811836823</c:v>
                </c:pt>
                <c:pt idx="6">
                  <c:v>0.3469624866717812</c:v>
                </c:pt>
                <c:pt idx="7">
                  <c:v>0.34489871911396397</c:v>
                </c:pt>
                <c:pt idx="8">
                  <c:v>0.34188964668100008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60-4D75-B40C-CC9B3A170D28}"/>
            </c:ext>
          </c:extLst>
        </c:ser>
        <c:ser>
          <c:idx val="2"/>
          <c:order val="2"/>
          <c:tx>
            <c:strRef>
              <c:f>'RC12 final July 26 2017'!$I$7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final July 26 2017'!$A$11:$A$19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final July 26 2017'!$I$11:$I$19</c:f>
              <c:numCache>
                <c:formatCode>0.0000</c:formatCode>
                <c:ptCount val="9"/>
                <c:pt idx="0">
                  <c:v>0.36583663005899997</c:v>
                </c:pt>
                <c:pt idx="1">
                  <c:v>0.38075595866867284</c:v>
                </c:pt>
                <c:pt idx="2">
                  <c:v>0.39251595482634372</c:v>
                </c:pt>
                <c:pt idx="3">
                  <c:v>0.4008727204721983</c:v>
                </c:pt>
                <c:pt idx="4">
                  <c:v>0.40588380806399993</c:v>
                </c:pt>
                <c:pt idx="5">
                  <c:v>0.40785778344330187</c:v>
                </c:pt>
                <c:pt idx="6">
                  <c:v>0.40730378870165623</c:v>
                </c:pt>
                <c:pt idx="7">
                  <c:v>0.40488110504682728</c:v>
                </c:pt>
                <c:pt idx="8">
                  <c:v>0.4013487156690001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60-4D75-B40C-CC9B3A170D28}"/>
            </c:ext>
          </c:extLst>
        </c:ser>
        <c:ser>
          <c:idx val="3"/>
          <c:order val="3"/>
          <c:tx>
            <c:strRef>
              <c:f>'RC12 final July 26 2017'!$T$56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final July 26 2017'!$T$60:$T$72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final July 26 2017'!$V$60:$V$72</c:f>
              <c:numCache>
                <c:formatCode>0.0000</c:formatCode>
                <c:ptCount val="13"/>
                <c:pt idx="0">
                  <c:v>0.2451998</c:v>
                </c:pt>
                <c:pt idx="1">
                  <c:v>0.2962067484775156</c:v>
                </c:pt>
                <c:pt idx="2">
                  <c:v>0.37116667237049994</c:v>
                </c:pt>
                <c:pt idx="3">
                  <c:v>0.39244381137331985</c:v>
                </c:pt>
                <c:pt idx="4">
                  <c:v>0.40942515561307796</c:v>
                </c:pt>
                <c:pt idx="5">
                  <c:v>0.42230484685796316</c:v>
                </c:pt>
                <c:pt idx="6">
                  <c:v>0.43184078700799983</c:v>
                </c:pt>
                <c:pt idx="7">
                  <c:v>0.43922571408381783</c:v>
                </c:pt>
                <c:pt idx="8">
                  <c:v>0.44595827821542172</c:v>
                </c:pt>
                <c:pt idx="9">
                  <c:v>0.45371411763096114</c:v>
                </c:pt>
                <c:pt idx="10">
                  <c:v>0.46421693464549935</c:v>
                </c:pt>
                <c:pt idx="11">
                  <c:v>0.47570701131199955</c:v>
                </c:pt>
                <c:pt idx="12">
                  <c:v>0.490761008308499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60-4D75-B40C-CC9B3A170D28}"/>
            </c:ext>
          </c:extLst>
        </c:ser>
        <c:ser>
          <c:idx val="4"/>
          <c:order val="4"/>
          <c:tx>
            <c:strRef>
              <c:f>'RC12 final July 26 2017'!$H$56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final July 26 2017'!$I$60:$I$67</c:f>
              <c:numCache>
                <c:formatCode>0.00</c:formatCode>
                <c:ptCount val="8"/>
                <c:pt idx="0">
                  <c:v>30.41</c:v>
                </c:pt>
                <c:pt idx="1">
                  <c:v>889.76</c:v>
                </c:pt>
                <c:pt idx="2">
                  <c:v>1082.22</c:v>
                </c:pt>
                <c:pt idx="3">
                  <c:v>1202.1500000000001</c:v>
                </c:pt>
                <c:pt idx="4">
                  <c:v>1373.73</c:v>
                </c:pt>
                <c:pt idx="5">
                  <c:v>1490.7</c:v>
                </c:pt>
                <c:pt idx="6">
                  <c:v>1624.74</c:v>
                </c:pt>
                <c:pt idx="7">
                  <c:v>2102.02</c:v>
                </c:pt>
              </c:numCache>
            </c:numRef>
          </c:xVal>
          <c:yVal>
            <c:numRef>
              <c:f>'RC12 final July 26 2017'!$O$60:$O$67</c:f>
              <c:numCache>
                <c:formatCode>0.000</c:formatCode>
                <c:ptCount val="8"/>
                <c:pt idx="0">
                  <c:v>0.24616666666666664</c:v>
                </c:pt>
                <c:pt idx="1">
                  <c:v>0.40148148148148149</c:v>
                </c:pt>
                <c:pt idx="2">
                  <c:v>0.42433333333333334</c:v>
                </c:pt>
                <c:pt idx="3">
                  <c:v>0.43061111111111111</c:v>
                </c:pt>
                <c:pt idx="4">
                  <c:v>0.44120370370370371</c:v>
                </c:pt>
                <c:pt idx="5">
                  <c:v>0.44981481481481478</c:v>
                </c:pt>
                <c:pt idx="6">
                  <c:v>0.45683333333333337</c:v>
                </c:pt>
                <c:pt idx="7">
                  <c:v>0.53442592592592597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60-4D75-B40C-CC9B3A170D28}"/>
            </c:ext>
          </c:extLst>
        </c:ser>
        <c:ser>
          <c:idx val="5"/>
          <c:order val="5"/>
          <c:tx>
            <c:strRef>
              <c:f>'RC12 final July 26 2017'!$J$8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final July 26 2017'!$L$9:$L$10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60-4D75-B40C-CC9B3A170D28}"/>
            </c:ext>
          </c:extLst>
        </c:ser>
        <c:ser>
          <c:idx val="6"/>
          <c:order val="6"/>
          <c:tx>
            <c:strRef>
              <c:f>'RC12 final July 26 2017'!$J$11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final July 26 2017'!$L$12:$L$13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60-4D75-B40C-CC9B3A170D28}"/>
            </c:ext>
          </c:extLst>
        </c:ser>
        <c:ser>
          <c:idx val="7"/>
          <c:order val="7"/>
          <c:tx>
            <c:strRef>
              <c:f>'RC12 final July 26 2017'!$J$14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final July 26 2017'!$L$15:$L$16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60-4D75-B40C-CC9B3A170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0.7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34517858232837173"/>
          <c:w val="0.22394875549398618"/>
          <c:h val="0.407784419389436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test TDH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4.15555026619705E-2"/>
                  <c:y val="-0.50584721846167824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final July 26 2017'!$I$60:$I$72</c:f>
              <c:numCache>
                <c:formatCode>0.00</c:formatCode>
                <c:ptCount val="13"/>
                <c:pt idx="0">
                  <c:v>30.41</c:v>
                </c:pt>
                <c:pt idx="1">
                  <c:v>889.76</c:v>
                </c:pt>
                <c:pt idx="2">
                  <c:v>1082.22</c:v>
                </c:pt>
                <c:pt idx="3">
                  <c:v>1202.1500000000001</c:v>
                </c:pt>
                <c:pt idx="4">
                  <c:v>1373.73</c:v>
                </c:pt>
                <c:pt idx="5">
                  <c:v>1490.7</c:v>
                </c:pt>
                <c:pt idx="6">
                  <c:v>1624.74</c:v>
                </c:pt>
                <c:pt idx="7">
                  <c:v>2102.02</c:v>
                </c:pt>
              </c:numCache>
            </c:numRef>
          </c:xVal>
          <c:yVal>
            <c:numRef>
              <c:f>'RC12 final July 26 2017'!$L$60:$L$72</c:f>
              <c:numCache>
                <c:formatCode>0.00</c:formatCode>
                <c:ptCount val="13"/>
                <c:pt idx="0">
                  <c:v>36.068703703703704</c:v>
                </c:pt>
                <c:pt idx="1">
                  <c:v>34.443148148148147</c:v>
                </c:pt>
                <c:pt idx="2">
                  <c:v>32.114629629629633</c:v>
                </c:pt>
                <c:pt idx="3">
                  <c:v>29.755925925925926</c:v>
                </c:pt>
                <c:pt idx="4">
                  <c:v>25.948703703703703</c:v>
                </c:pt>
                <c:pt idx="5">
                  <c:v>23.193888888888889</c:v>
                </c:pt>
                <c:pt idx="6">
                  <c:v>18.891481481481481</c:v>
                </c:pt>
                <c:pt idx="7">
                  <c:v>0.16592592592592595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FB-4004-B6C0-99BF9AA77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6.8510960243701735E-3"/>
                  <c:y val="-0.14414169392214643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final July 26 2017'!$I$60:$I$72</c:f>
              <c:numCache>
                <c:formatCode>0.00</c:formatCode>
                <c:ptCount val="13"/>
                <c:pt idx="0">
                  <c:v>30.41</c:v>
                </c:pt>
                <c:pt idx="1">
                  <c:v>889.76</c:v>
                </c:pt>
                <c:pt idx="2">
                  <c:v>1082.22</c:v>
                </c:pt>
                <c:pt idx="3">
                  <c:v>1202.1500000000001</c:v>
                </c:pt>
                <c:pt idx="4">
                  <c:v>1373.73</c:v>
                </c:pt>
                <c:pt idx="5">
                  <c:v>1490.7</c:v>
                </c:pt>
                <c:pt idx="6">
                  <c:v>1624.74</c:v>
                </c:pt>
                <c:pt idx="7">
                  <c:v>2102.02</c:v>
                </c:pt>
              </c:numCache>
            </c:numRef>
          </c:xVal>
          <c:yVal>
            <c:numRef>
              <c:f>'RC12 final July 26 2017'!$O$60:$O$72</c:f>
              <c:numCache>
                <c:formatCode>0.000</c:formatCode>
                <c:ptCount val="13"/>
                <c:pt idx="0">
                  <c:v>0.24616666666666664</c:v>
                </c:pt>
                <c:pt idx="1">
                  <c:v>0.40148148148148149</c:v>
                </c:pt>
                <c:pt idx="2">
                  <c:v>0.42433333333333334</c:v>
                </c:pt>
                <c:pt idx="3">
                  <c:v>0.43061111111111111</c:v>
                </c:pt>
                <c:pt idx="4">
                  <c:v>0.44120370370370371</c:v>
                </c:pt>
                <c:pt idx="5">
                  <c:v>0.44981481481481478</c:v>
                </c:pt>
                <c:pt idx="6">
                  <c:v>0.45683333333333337</c:v>
                </c:pt>
                <c:pt idx="7">
                  <c:v>0.53442592592592597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06-4A96-B7E5-748527620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BRAKE POWER - RC12 ODI sheet marked "A"</a:t>
            </a:r>
            <a:br>
              <a:rPr lang="en-CA" sz="1800" b="1" i="0" baseline="0">
                <a:effectLst/>
              </a:rPr>
            </a:b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'RC12 "A" 26.2mm'!$A$5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"A" 26.2mm'!$A$9:$A$21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"A" 26.2mm'!$C$9:$C$21</c:f>
              <c:numCache>
                <c:formatCode>0.0000</c:formatCode>
                <c:ptCount val="13"/>
                <c:pt idx="0">
                  <c:v>0.25501099999999999</c:v>
                </c:pt>
                <c:pt idx="1">
                  <c:v>0.29064644929765621</c:v>
                </c:pt>
                <c:pt idx="2">
                  <c:v>0.33873762042499994</c:v>
                </c:pt>
                <c:pt idx="3">
                  <c:v>0.35255181358210447</c:v>
                </c:pt>
                <c:pt idx="4">
                  <c:v>0.36344069891328118</c:v>
                </c:pt>
                <c:pt idx="5">
                  <c:v>0.37117844488166507</c:v>
                </c:pt>
                <c:pt idx="6">
                  <c:v>0.37581834079999993</c:v>
                </c:pt>
                <c:pt idx="7">
                  <c:v>0.37764609578083502</c:v>
                </c:pt>
                <c:pt idx="8">
                  <c:v>0.37713313768671869</c:v>
                </c:pt>
                <c:pt idx="9">
                  <c:v>0.37488991208039563</c:v>
                </c:pt>
                <c:pt idx="10">
                  <c:v>0.37161918117500009</c:v>
                </c:pt>
                <c:pt idx="11">
                  <c:v>0.3687653623999998</c:v>
                </c:pt>
                <c:pt idx="12">
                  <c:v>0.36611774412499992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D-45D3-8A2D-CAD49A9465EA}"/>
            </c:ext>
          </c:extLst>
        </c:ser>
        <c:ser>
          <c:idx val="0"/>
          <c:order val="1"/>
          <c:tx>
            <c:strRef>
              <c:f>'RC12 "A" 26.2mm'!$H$7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"A" 26.2mm'!$A$11:$A$19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"A" 26.2mm'!$H$11:$H$19</c:f>
              <c:numCache>
                <c:formatCode>0.0000</c:formatCode>
                <c:ptCount val="9"/>
                <c:pt idx="0">
                  <c:v>0.31163861079099997</c:v>
                </c:pt>
                <c:pt idx="1">
                  <c:v>0.32434766849553615</c:v>
                </c:pt>
                <c:pt idx="2">
                  <c:v>0.3343654430002187</c:v>
                </c:pt>
                <c:pt idx="3">
                  <c:v>0.3414841692911319</c:v>
                </c:pt>
                <c:pt idx="4">
                  <c:v>0.34575287353599993</c:v>
                </c:pt>
                <c:pt idx="5">
                  <c:v>0.34743440811836823</c:v>
                </c:pt>
                <c:pt idx="6">
                  <c:v>0.3469624866717812</c:v>
                </c:pt>
                <c:pt idx="7">
                  <c:v>0.34489871911396397</c:v>
                </c:pt>
                <c:pt idx="8">
                  <c:v>0.34188964668100008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2D-45D3-8A2D-CAD49A9465EA}"/>
            </c:ext>
          </c:extLst>
        </c:ser>
        <c:ser>
          <c:idx val="2"/>
          <c:order val="2"/>
          <c:tx>
            <c:strRef>
              <c:f>'RC12 "A" 26.2mm'!$I$7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"A" 26.2mm'!$A$11:$A$19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"A" 26.2mm'!$I$11:$I$19</c:f>
              <c:numCache>
                <c:formatCode>0.0000</c:formatCode>
                <c:ptCount val="9"/>
                <c:pt idx="0">
                  <c:v>0.36583663005899997</c:v>
                </c:pt>
                <c:pt idx="1">
                  <c:v>0.38075595866867284</c:v>
                </c:pt>
                <c:pt idx="2">
                  <c:v>0.39251595482634372</c:v>
                </c:pt>
                <c:pt idx="3">
                  <c:v>0.4008727204721983</c:v>
                </c:pt>
                <c:pt idx="4">
                  <c:v>0.40588380806399993</c:v>
                </c:pt>
                <c:pt idx="5">
                  <c:v>0.40785778344330187</c:v>
                </c:pt>
                <c:pt idx="6">
                  <c:v>0.40730378870165623</c:v>
                </c:pt>
                <c:pt idx="7">
                  <c:v>0.40488110504682728</c:v>
                </c:pt>
                <c:pt idx="8">
                  <c:v>0.4013487156690001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2D-45D3-8A2D-CAD49A9465EA}"/>
            </c:ext>
          </c:extLst>
        </c:ser>
        <c:ser>
          <c:idx val="3"/>
          <c:order val="3"/>
          <c:tx>
            <c:strRef>
              <c:f>'RC12 "A" 26.2mm'!$T$56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"A" 26.2mm'!$T$60:$T$72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"A" 26.2mm'!$V$60:$V$72</c:f>
              <c:numCache>
                <c:formatCode>0.0000</c:formatCode>
                <c:ptCount val="13"/>
                <c:pt idx="0">
                  <c:v>0.26505289999999998</c:v>
                </c:pt>
                <c:pt idx="1">
                  <c:v>0.29691888783784059</c:v>
                </c:pt>
                <c:pt idx="2">
                  <c:v>0.38305715272089985</c:v>
                </c:pt>
                <c:pt idx="3">
                  <c:v>0.40544651062018461</c:v>
                </c:pt>
                <c:pt idx="4">
                  <c:v>0.42110566331910304</c:v>
                </c:pt>
                <c:pt idx="5">
                  <c:v>0.43060220573135166</c:v>
                </c:pt>
                <c:pt idx="6">
                  <c:v>0.43545836723839981</c:v>
                </c:pt>
                <c:pt idx="7">
                  <c:v>0.43782897996341696</c:v>
                </c:pt>
                <c:pt idx="8">
                  <c:v>0.44017944704519685</c:v>
                </c:pt>
                <c:pt idx="9">
                  <c:v>0.44496371091208387</c:v>
                </c:pt>
                <c:pt idx="10">
                  <c:v>0.45430222155589961</c:v>
                </c:pt>
                <c:pt idx="11">
                  <c:v>0.4660667669216001</c:v>
                </c:pt>
                <c:pt idx="12">
                  <c:v>0.48201677532129938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2D-45D3-8A2D-CAD49A9465EA}"/>
            </c:ext>
          </c:extLst>
        </c:ser>
        <c:ser>
          <c:idx val="4"/>
          <c:order val="4"/>
          <c:tx>
            <c:strRef>
              <c:f>'RC12 "A" 26.2mm'!$H$56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"A" 26.2mm'!$H$60:$H$70</c:f>
              <c:numCache>
                <c:formatCode>0.00</c:formatCode>
                <c:ptCount val="11"/>
                <c:pt idx="0">
                  <c:v>39.700000000000003</c:v>
                </c:pt>
                <c:pt idx="1">
                  <c:v>393</c:v>
                </c:pt>
                <c:pt idx="2">
                  <c:v>768</c:v>
                </c:pt>
                <c:pt idx="3">
                  <c:v>917.2</c:v>
                </c:pt>
                <c:pt idx="4">
                  <c:v>1072.1999999999998</c:v>
                </c:pt>
                <c:pt idx="5">
                  <c:v>1234.0999999999999</c:v>
                </c:pt>
                <c:pt idx="6">
                  <c:v>1364.8999999999999</c:v>
                </c:pt>
                <c:pt idx="7">
                  <c:v>1500.5</c:v>
                </c:pt>
                <c:pt idx="8">
                  <c:v>1649.3999999999999</c:v>
                </c:pt>
                <c:pt idx="9">
                  <c:v>1768.8</c:v>
                </c:pt>
                <c:pt idx="10">
                  <c:v>2010.5</c:v>
                </c:pt>
              </c:numCache>
            </c:numRef>
          </c:xVal>
          <c:yVal>
            <c:numRef>
              <c:f>'RC12 "A" 26.2mm'!$N$60:$N$70</c:f>
              <c:numCache>
                <c:formatCode>0.000</c:formatCode>
                <c:ptCount val="11"/>
                <c:pt idx="0">
                  <c:v>0.25900000000000001</c:v>
                </c:pt>
                <c:pt idx="1">
                  <c:v>0.313</c:v>
                </c:pt>
                <c:pt idx="2">
                  <c:v>0.38500000000000001</c:v>
                </c:pt>
                <c:pt idx="3">
                  <c:v>0.41799999999999998</c:v>
                </c:pt>
                <c:pt idx="4">
                  <c:v>0.441</c:v>
                </c:pt>
                <c:pt idx="5">
                  <c:v>0.44500000000000001</c:v>
                </c:pt>
                <c:pt idx="6">
                  <c:v>0.436</c:v>
                </c:pt>
                <c:pt idx="7">
                  <c:v>0.42399999999999999</c:v>
                </c:pt>
                <c:pt idx="8">
                  <c:v>0.45200000000000001</c:v>
                </c:pt>
                <c:pt idx="9">
                  <c:v>0.47099999999999997</c:v>
                </c:pt>
                <c:pt idx="10">
                  <c:v>0.502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2D-45D3-8A2D-CAD49A9465EA}"/>
            </c:ext>
          </c:extLst>
        </c:ser>
        <c:ser>
          <c:idx val="5"/>
          <c:order val="5"/>
          <c:tx>
            <c:strRef>
              <c:f>'RC12 "A" 26.2mm'!$J$8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"A" 26.2mm'!$L$9:$L$10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2D-45D3-8A2D-CAD49A9465EA}"/>
            </c:ext>
          </c:extLst>
        </c:ser>
        <c:ser>
          <c:idx val="6"/>
          <c:order val="6"/>
          <c:tx>
            <c:strRef>
              <c:f>'RC12 "A" 26.2mm'!$J$11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"A" 26.2mm'!$L$12:$L$13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2D-45D3-8A2D-CAD49A9465EA}"/>
            </c:ext>
          </c:extLst>
        </c:ser>
        <c:ser>
          <c:idx val="7"/>
          <c:order val="7"/>
          <c:tx>
            <c:strRef>
              <c:f>'RC12 "A" 26.2mm'!$J$14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"A" 26.2mm'!$L$15:$L$16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2D-45D3-8A2D-CAD49A94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0.7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34517858232837173"/>
          <c:w val="0.22394875549398618"/>
          <c:h val="0.407784419389436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/>
              <a:t>EFFICIENCY - RC12 ODI </a:t>
            </a:r>
            <a:r>
              <a:rPr lang="en-CA" sz="1600" b="1" i="0" u="none" strike="noStrike" baseline="0">
                <a:effectLst/>
              </a:rPr>
              <a:t>sheet marked "C"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 b="1" i="0" u="none" strike="noStrike" baseline="0">
                <a:effectLst/>
              </a:rPr>
              <a:t>3500rpm, SG=1</a:t>
            </a:r>
            <a:endParaRPr lang="en-CA" sz="1600"/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final July 26 2017'!$T$56:$W$56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'RC12 final July 26 2017'!$T$62:$T$70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final July 26 2017'!$W$62:$W$70</c:f>
              <c:numCache>
                <c:formatCode>0.0</c:formatCode>
                <c:ptCount val="9"/>
                <c:pt idx="0">
                  <c:v>49.807703241300217</c:v>
                </c:pt>
                <c:pt idx="1">
                  <c:v>54.280333315092015</c:v>
                </c:pt>
                <c:pt idx="2">
                  <c:v>57.782306216995394</c:v>
                </c:pt>
                <c:pt idx="3">
                  <c:v>60.17266030318271</c:v>
                </c:pt>
                <c:pt idx="4">
                  <c:v>61.196206797099919</c:v>
                </c:pt>
                <c:pt idx="5">
                  <c:v>60.509767838283224</c:v>
                </c:pt>
                <c:pt idx="6">
                  <c:v>57.723234755340712</c:v>
                </c:pt>
                <c:pt idx="7">
                  <c:v>52.463328019308442</c:v>
                </c:pt>
                <c:pt idx="8">
                  <c:v>44.457238002647777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92-492E-9ADA-AEC5C995FAB1}"/>
            </c:ext>
          </c:extLst>
        </c:ser>
        <c:ser>
          <c:idx val="1"/>
          <c:order val="1"/>
          <c:tx>
            <c:strRef>
              <c:f>'RC12 final July 26 2017'!$X$57:$AB$57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'RC12 final July 26 2017'!$T$66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final July 26 2017'!$AB$66</c:f>
              <c:numCache>
                <c:formatCode>0.0</c:formatCode>
                <c:ptCount val="1"/>
                <c:pt idx="0">
                  <c:v>57.278896193482765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92-492E-9ADA-AEC5C995FAB1}"/>
            </c:ext>
          </c:extLst>
        </c:ser>
        <c:ser>
          <c:idx val="2"/>
          <c:order val="2"/>
          <c:tx>
            <c:strRef>
              <c:f>'RC12 final July 26 2017'!$Q$56:$S$56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'RC12 final July 26 2017'!$T$66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final July 26 2017'!$I$3</c:f>
              <c:numCache>
                <c:formatCode>0.0</c:formatCode>
                <c:ptCount val="1"/>
                <c:pt idx="0">
                  <c:v>63.643217992758629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92-492E-9ADA-AEC5C995FAB1}"/>
            </c:ext>
          </c:extLst>
        </c:ser>
        <c:ser>
          <c:idx val="3"/>
          <c:order val="3"/>
          <c:tx>
            <c:strRef>
              <c:f>'RC12 final July 26 2017'!$J$8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final July 26 2017'!$M$9:$M$10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92-492E-9ADA-AEC5C995FAB1}"/>
            </c:ext>
          </c:extLst>
        </c:ser>
        <c:ser>
          <c:idx val="5"/>
          <c:order val="4"/>
          <c:tx>
            <c:strRef>
              <c:f>'RC12 final July 26 2017'!$J$14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final July 26 2017'!$M$15:$M$16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92-492E-9ADA-AEC5C995FAB1}"/>
            </c:ext>
          </c:extLst>
        </c:ser>
        <c:ser>
          <c:idx val="4"/>
          <c:order val="5"/>
          <c:tx>
            <c:strRef>
              <c:f>'RC12 final July 26 2017'!$J$11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final July 26 2017'!$M$12:$M$13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92-492E-9ADA-AEC5C995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  <c:max val="20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0466813291131802"/>
          <c:h val="0.28040549657660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RC12 review PREMIER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CORRECTED TO 3500rpm and SG=1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021395894788502E-2"/>
          <c:y val="8.0989898989898987E-2"/>
          <c:w val="0.92969054142057173"/>
          <c:h val="0.735023462976218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compare!$G$21</c:f>
              <c:strCache>
                <c:ptCount val="1"/>
                <c:pt idx="0">
                  <c:v>catalog curve TDH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3D8B-41AC-9EE8-133FA907AC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3D8B-41AC-9EE8-133FA907AC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3D8B-41AC-9EE8-133FA907AC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3D8B-41AC-9EE8-133FA907ACB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3D8B-41AC-9EE8-133FA907ACB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3D8B-41AC-9EE8-133FA907ACB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3D8B-41AC-9EE8-133FA907ACB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3D8B-41AC-9EE8-133FA907ACB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3D8B-41AC-9EE8-133FA907ACB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3D8B-41AC-9EE8-133FA907ACB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3D8B-41AC-9EE8-133FA907ACB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3D8B-41AC-9EE8-133FA907ACB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57B2C9B-3D17-41F7-9811-589FC93A705D}" type="SERIESNAME">
                      <a:rPr lang="en-US">
                        <a:solidFill>
                          <a:srgbClr val="FF000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E-3D8B-41AC-9EE8-133FA907ACB1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compare!$A$6:$A$18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compare!$B$6:$B$18</c:f>
              <c:numCache>
                <c:formatCode>General</c:formatCode>
                <c:ptCount val="13"/>
                <c:pt idx="0">
                  <c:v>34.578919999999997</c:v>
                </c:pt>
                <c:pt idx="1">
                  <c:v>34.024158746931249</c:v>
                </c:pt>
                <c:pt idx="2">
                  <c:v>32.470848099800001</c:v>
                </c:pt>
                <c:pt idx="3">
                  <c:v>31.689462103857611</c:v>
                </c:pt>
                <c:pt idx="4">
                  <c:v>30.623455699956246</c:v>
                </c:pt>
                <c:pt idx="5">
                  <c:v>29.130005821933786</c:v>
                </c:pt>
                <c:pt idx="6">
                  <c:v>27.062060604799996</c:v>
                </c:pt>
                <c:pt idx="7">
                  <c:v>24.285252983369322</c:v>
                </c:pt>
                <c:pt idx="8">
                  <c:v>20.694814290893756</c:v>
                </c:pt>
                <c:pt idx="9">
                  <c:v>16.232487857695538</c:v>
                </c:pt>
                <c:pt idx="10">
                  <c:v>10.90344260980001</c:v>
                </c:pt>
                <c:pt idx="11">
                  <c:v>6.0704990191999997</c:v>
                </c:pt>
                <c:pt idx="12">
                  <c:v>0.82352819660003718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E-409A-A7D5-A01920E30541}"/>
            </c:ext>
          </c:extLst>
        </c:ser>
        <c:ser>
          <c:idx val="2"/>
          <c:order val="2"/>
          <c:tx>
            <c:strRef>
              <c:f>compare!$G$23</c:f>
              <c:strCache>
                <c:ptCount val="1"/>
                <c:pt idx="0">
                  <c:v>catalog curve EFF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6"/>
              <c:tx>
                <c:rich>
                  <a:bodyPr/>
                  <a:lstStyle/>
                  <a:p>
                    <a:fld id="{8A18F3DE-3505-411F-A1CB-7038D8F8CC5A}" type="SERIESNAME">
                      <a:rPr lang="en-US">
                        <a:solidFill>
                          <a:srgbClr val="FF000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BDE-409A-A7D5-A01920E30541}"/>
                </c:ext>
              </c:extLst>
            </c:dLbl>
            <c:spPr>
              <a:noFill/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compare!$A$6:$A$18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compare!$D$6:$D$18</c:f>
              <c:numCache>
                <c:formatCode>General</c:formatCode>
                <c:ptCount val="13"/>
                <c:pt idx="6">
                  <c:v>63.643217992758629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E-409A-A7D5-A01920E30541}"/>
            </c:ext>
          </c:extLst>
        </c:ser>
        <c:ser>
          <c:idx val="3"/>
          <c:order val="3"/>
          <c:tx>
            <c:strRef>
              <c:f>compare!$G$24</c:f>
              <c:strCache>
                <c:ptCount val="1"/>
                <c:pt idx="0">
                  <c:v>RC12 "A" 26.2mm TDH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3D8B-41AC-9EE8-133FA907AC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3D8B-41AC-9EE8-133FA907AC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3D8B-41AC-9EE8-133FA907AC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3D8B-41AC-9EE8-133FA907ACB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3D8B-41AC-9EE8-133FA907ACB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3D8B-41AC-9EE8-133FA907ACB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3D8B-41AC-9EE8-133FA907ACB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3D8B-41AC-9EE8-133FA907ACB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3D8B-41AC-9EE8-133FA907ACB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3D8B-41AC-9EE8-133FA907ACB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3D8B-41AC-9EE8-133FA907ACB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3D8B-41AC-9EE8-133FA907ACB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B33BB85-52B0-45C6-858D-AEBE5746835E}" type="SERIESNAME">
                      <a:rPr lang="en-US">
                        <a:solidFill>
                          <a:srgbClr val="0070C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6B-3D8B-41AC-9EE8-133FA907ACB1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compare!$J$6:$J$18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compare!$K$6:$K$18</c:f>
              <c:numCache>
                <c:formatCode>General</c:formatCode>
                <c:ptCount val="13"/>
                <c:pt idx="0">
                  <c:v>33.5443</c:v>
                </c:pt>
                <c:pt idx="1">
                  <c:v>34.090469574958433</c:v>
                </c:pt>
                <c:pt idx="2">
                  <c:v>34.452738200669998</c:v>
                </c:pt>
                <c:pt idx="3">
                  <c:v>34.047951952794271</c:v>
                </c:pt>
                <c:pt idx="4">
                  <c:v>33.119929532162196</c:v>
                </c:pt>
                <c:pt idx="5">
                  <c:v>31.533916059611165</c:v>
                </c:pt>
                <c:pt idx="6">
                  <c:v>29.189825345919992</c:v>
                </c:pt>
                <c:pt idx="7">
                  <c:v>26.039336746056961</c:v>
                </c:pt>
                <c:pt idx="8">
                  <c:v>22.102992013427802</c:v>
                </c:pt>
                <c:pt idx="9">
                  <c:v>17.487292154123864</c:v>
                </c:pt>
                <c:pt idx="10">
                  <c:v>12.401794281169998</c:v>
                </c:pt>
                <c:pt idx="11">
                  <c:v>8.2122328580799859</c:v>
                </c:pt>
                <c:pt idx="12">
                  <c:v>4.1616484071899862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E-409A-A7D5-A01920E30541}"/>
            </c:ext>
          </c:extLst>
        </c:ser>
        <c:ser>
          <c:idx val="5"/>
          <c:order val="5"/>
          <c:tx>
            <c:strRef>
              <c:f>compare!$G$26</c:f>
              <c:strCache>
                <c:ptCount val="1"/>
                <c:pt idx="0">
                  <c:v>RC12 "A" 26.2mm EFF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9F629F4-AF9E-443A-9361-E432F07E4E13}" type="SERIESNAME">
                      <a:rPr lang="en-US">
                        <a:solidFill>
                          <a:srgbClr val="0070C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6-3D8B-41AC-9EE8-133FA907ACB1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compare!$J$12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compare!$M$12</c:f>
              <c:numCache>
                <c:formatCode>General</c:formatCode>
                <c:ptCount val="1"/>
                <c:pt idx="0">
                  <c:v>59.238589736026597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E-409A-A7D5-A01920E30541}"/>
            </c:ext>
          </c:extLst>
        </c:ser>
        <c:ser>
          <c:idx val="6"/>
          <c:order val="6"/>
          <c:tx>
            <c:strRef>
              <c:f>compare!$I$21</c:f>
              <c:strCache>
                <c:ptCount val="1"/>
                <c:pt idx="0">
                  <c:v>RC12 "B" ORIGINAL LENGTH TDH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3D8B-41AC-9EE8-133FA907AC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D8B-41AC-9EE8-133FA907AC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3D8B-41AC-9EE8-133FA907AC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3D8B-41AC-9EE8-133FA907ACB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3D8B-41AC-9EE8-133FA907ACB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3D8B-41AC-9EE8-133FA907ACB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3D8B-41AC-9EE8-133FA907ACB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3D8B-41AC-9EE8-133FA907ACB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3D8B-41AC-9EE8-133FA907ACB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3D8B-41AC-9EE8-133FA907ACB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3D8B-41AC-9EE8-133FA907ACB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3D8B-41AC-9EE8-133FA907ACB1}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BC66C4A-2F99-4D6A-91E5-195CCA8CF31B}" type="SERIESNAME">
                      <a:rPr lang="en-US">
                        <a:solidFill>
                          <a:srgbClr val="00B050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CA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50"/>
                  </a:solidFill>
                </a:ln>
                <a:effectLst/>
              </c:sp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A-3D8B-41AC-9EE8-133FA907ACB1}"/>
                </c:ext>
              </c:extLst>
            </c:dLbl>
            <c:spPr>
              <a:noFill/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compare!$N$6:$N$18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compare!$O$6:$O$18</c:f>
              <c:numCache>
                <c:formatCode>General</c:formatCode>
                <c:ptCount val="13"/>
                <c:pt idx="0">
                  <c:v>33.794460000000001</c:v>
                </c:pt>
                <c:pt idx="1">
                  <c:v>34.354900929337191</c:v>
                </c:pt>
                <c:pt idx="2">
                  <c:v>34.51272253778999</c:v>
                </c:pt>
                <c:pt idx="3">
                  <c:v>34.119181002032434</c:v>
                </c:pt>
                <c:pt idx="4">
                  <c:v>33.233779162375939</c:v>
                </c:pt>
                <c:pt idx="5">
                  <c:v>31.698514184140343</c:v>
                </c:pt>
                <c:pt idx="6">
                  <c:v>29.388394487040003</c:v>
                </c:pt>
                <c:pt idx="7">
                  <c:v>26.234995520330287</c:v>
                </c:pt>
                <c:pt idx="8">
                  <c:v>22.250015537954063</c:v>
                </c:pt>
                <c:pt idx="9">
                  <c:v>17.548831373688209</c:v>
                </c:pt>
                <c:pt idx="10">
                  <c:v>12.37405421629002</c:v>
                </c:pt>
                <c:pt idx="11">
                  <c:v>8.1519431529600013</c:v>
                </c:pt>
                <c:pt idx="12">
                  <c:v>4.1558365950299958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E-409A-A7D5-A01920E30541}"/>
            </c:ext>
          </c:extLst>
        </c:ser>
        <c:ser>
          <c:idx val="8"/>
          <c:order val="8"/>
          <c:tx>
            <c:strRef>
              <c:f>compare!$I$23</c:f>
              <c:strCache>
                <c:ptCount val="1"/>
                <c:pt idx="0">
                  <c:v>RC12 "B" ORIGINAL LENGTH EFF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16D8B68-C60B-45CF-8E6B-768BFBEC9F0E}" type="SERIESNAME">
                      <a:rPr lang="en-US">
                        <a:solidFill>
                          <a:srgbClr val="00B05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8-3D8B-41AC-9EE8-133FA907ACB1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compare!$N$12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compare!$Q$12</c:f>
              <c:numCache>
                <c:formatCode>General</c:formatCode>
                <c:ptCount val="1"/>
                <c:pt idx="0">
                  <c:v>57.301978774655574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DE-409A-A7D5-A01920E30541}"/>
            </c:ext>
          </c:extLst>
        </c:ser>
        <c:ser>
          <c:idx val="9"/>
          <c:order val="9"/>
          <c:tx>
            <c:strRef>
              <c:f>compare!$I$24</c:f>
              <c:strCache>
                <c:ptCount val="1"/>
                <c:pt idx="0">
                  <c:v>RC12 "C" 25.6mm TDH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BDE-409A-A7D5-A01920E3054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3D8B-41AC-9EE8-133FA907AC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3D8B-41AC-9EE8-133FA907AC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3D8B-41AC-9EE8-133FA907AC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3D8B-41AC-9EE8-133FA907ACB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3D8B-41AC-9EE8-133FA907ACB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BDE-409A-A7D5-A01920E3054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3D8B-41AC-9EE8-133FA907ACB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3D8B-41AC-9EE8-133FA907ACB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3D8B-41AC-9EE8-133FA907ACB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3D8B-41AC-9EE8-133FA907ACB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3D8B-41AC-9EE8-133FA907ACB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3D8B-41AC-9EE8-133FA907ACB1}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8DA21B3-FFB0-48FF-A7AB-CB3613CF9851}" type="SERIESNAME">
                      <a:rPr lang="en-US">
                        <a:solidFill>
                          <a:srgbClr val="7030A0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CA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7030A0"/>
                  </a:solidFill>
                </a:ln>
                <a:effectLst/>
              </c:sp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D-3D8B-41AC-9EE8-133FA907AC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compare!$R$6:$R$18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compare!$S$6:$S$18</c:f>
              <c:numCache>
                <c:formatCode>General</c:formatCode>
                <c:ptCount val="13"/>
                <c:pt idx="0">
                  <c:v>34.197009999999999</c:v>
                </c:pt>
                <c:pt idx="1">
                  <c:v>34.792623674945624</c:v>
                </c:pt>
                <c:pt idx="2">
                  <c:v>34.410639725260005</c:v>
                </c:pt>
                <c:pt idx="3">
                  <c:v>33.668144460298578</c:v>
                </c:pt>
                <c:pt idx="4">
                  <c:v>32.477391210088129</c:v>
                </c:pt>
                <c:pt idx="5">
                  <c:v>30.777058731489007</c:v>
                </c:pt>
                <c:pt idx="6">
                  <c:v>28.526746389760003</c:v>
                </c:pt>
                <c:pt idx="7">
                  <c:v>25.712481670765371</c:v>
                </c:pt>
                <c:pt idx="8">
                  <c:v>22.352227693181874</c:v>
                </c:pt>
                <c:pt idx="9">
                  <c:v>18.501390720705793</c:v>
                </c:pt>
                <c:pt idx="10">
                  <c:v>14.258327674259998</c:v>
                </c:pt>
                <c:pt idx="11">
                  <c:v>10.678365370240002</c:v>
                </c:pt>
                <c:pt idx="12">
                  <c:v>7.0400868218199975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DE-409A-A7D5-A01920E30541}"/>
            </c:ext>
          </c:extLst>
        </c:ser>
        <c:ser>
          <c:idx val="11"/>
          <c:order val="11"/>
          <c:tx>
            <c:strRef>
              <c:f>compare!$I$26</c:f>
              <c:strCache>
                <c:ptCount val="1"/>
                <c:pt idx="0">
                  <c:v>RC12 "C" 25.6mm EFF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292E196-92B9-4F93-AF72-F6A9EF447DB1}" type="SERIESNAME">
                      <a:rPr lang="en-US">
                        <a:solidFill>
                          <a:srgbClr val="7030A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7-3D8B-41AC-9EE8-133FA907ACB1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compare!$R$12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compare!$U$12</c:f>
              <c:numCache>
                <c:formatCode>General</c:formatCode>
                <c:ptCount val="1"/>
                <c:pt idx="0">
                  <c:v>58.455856554866585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BDE-409A-A7D5-A01920E30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807760"/>
        <c:axId val="996383440"/>
      </c:scatterChart>
      <c:scatterChart>
        <c:scatterStyle val="smoothMarker"/>
        <c:varyColors val="0"/>
        <c:ser>
          <c:idx val="1"/>
          <c:order val="1"/>
          <c:tx>
            <c:strRef>
              <c:f>compare!$G$22</c:f>
              <c:strCache>
                <c:ptCount val="1"/>
                <c:pt idx="0">
                  <c:v>catalog curve POWER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8B-41AC-9EE8-133FA907AC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8B-41AC-9EE8-133FA907AC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8B-41AC-9EE8-133FA907AC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8B-41AC-9EE8-133FA907ACB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8B-41AC-9EE8-133FA907ACB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8B-41AC-9EE8-133FA907ACB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D8B-41AC-9EE8-133FA907ACB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8B-41AC-9EE8-133FA907ACB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8B-41AC-9EE8-133FA907ACB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D8B-41AC-9EE8-133FA907ACB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D8B-41AC-9EE8-133FA907ACB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D8B-41AC-9EE8-133FA907ACB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C5EB27C-A3B8-47C4-8727-6EE095DBC04F}" type="SERIESNAME">
                      <a:rPr lang="en-US">
                        <a:solidFill>
                          <a:srgbClr val="FF0000"/>
                        </a:solidFill>
                      </a:rPr>
                      <a:pPr/>
                      <a:t>[SERIES NAME]</a:t>
                    </a:fld>
                    <a:r>
                      <a:rPr lang="en-US" baseline="0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D8B-41AC-9EE8-133FA907ACB1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compare!$A$6:$A$18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compare!$C$6:$C$18</c:f>
              <c:numCache>
                <c:formatCode>General</c:formatCode>
                <c:ptCount val="13"/>
                <c:pt idx="0">
                  <c:v>0.25501099999999999</c:v>
                </c:pt>
                <c:pt idx="1">
                  <c:v>0.29064644929765621</c:v>
                </c:pt>
                <c:pt idx="2">
                  <c:v>0.33873762042499994</c:v>
                </c:pt>
                <c:pt idx="3">
                  <c:v>0.35255181358210447</c:v>
                </c:pt>
                <c:pt idx="4">
                  <c:v>0.36344069891328118</c:v>
                </c:pt>
                <c:pt idx="5">
                  <c:v>0.37117844488166507</c:v>
                </c:pt>
                <c:pt idx="6">
                  <c:v>0.37581834079999993</c:v>
                </c:pt>
                <c:pt idx="7">
                  <c:v>0.37764609578083502</c:v>
                </c:pt>
                <c:pt idx="8">
                  <c:v>0.37713313768671869</c:v>
                </c:pt>
                <c:pt idx="9">
                  <c:v>0.37488991208039563</c:v>
                </c:pt>
                <c:pt idx="10">
                  <c:v>0.37161918117500009</c:v>
                </c:pt>
                <c:pt idx="11">
                  <c:v>0.3687653623999998</c:v>
                </c:pt>
                <c:pt idx="12">
                  <c:v>0.36611774412499992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E-409A-A7D5-A01920E30541}"/>
            </c:ext>
          </c:extLst>
        </c:ser>
        <c:ser>
          <c:idx val="4"/>
          <c:order val="4"/>
          <c:tx>
            <c:strRef>
              <c:f>compare!$G$25</c:f>
              <c:strCache>
                <c:ptCount val="1"/>
                <c:pt idx="0">
                  <c:v>RC12 "A" 26.2mm POWER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3D8B-41AC-9EE8-133FA907AC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D8B-41AC-9EE8-133FA907AC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3D8B-41AC-9EE8-133FA907AC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3D8B-41AC-9EE8-133FA907ACB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D8B-41AC-9EE8-133FA907ACB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3D8B-41AC-9EE8-133FA907ACB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3D8B-41AC-9EE8-133FA907ACB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3D8B-41AC-9EE8-133FA907ACB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3D8B-41AC-9EE8-133FA907ACB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3D8B-41AC-9EE8-133FA907ACB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3D8B-41AC-9EE8-133FA907ACB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3D8B-41AC-9EE8-133FA907ACB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376FFBA-E9C0-4C93-B36E-96602804AA16}" type="SERIESNAME">
                      <a:rPr lang="en-US">
                        <a:solidFill>
                          <a:srgbClr val="0070C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9-3D8B-41AC-9EE8-133FA907ACB1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compare!$J$6:$J$18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compare!$L$6:$L$18</c:f>
              <c:numCache>
                <c:formatCode>General</c:formatCode>
                <c:ptCount val="13"/>
                <c:pt idx="0">
                  <c:v>0.26505289999999998</c:v>
                </c:pt>
                <c:pt idx="1">
                  <c:v>0.29691888783784059</c:v>
                </c:pt>
                <c:pt idx="2">
                  <c:v>0.38305715272089985</c:v>
                </c:pt>
                <c:pt idx="3">
                  <c:v>0.40544651062018461</c:v>
                </c:pt>
                <c:pt idx="4">
                  <c:v>0.42110566331910304</c:v>
                </c:pt>
                <c:pt idx="5">
                  <c:v>0.43060220573135166</c:v>
                </c:pt>
                <c:pt idx="6">
                  <c:v>0.43545836723839981</c:v>
                </c:pt>
                <c:pt idx="7">
                  <c:v>0.43782897996341696</c:v>
                </c:pt>
                <c:pt idx="8">
                  <c:v>0.44017944704519685</c:v>
                </c:pt>
                <c:pt idx="9">
                  <c:v>0.44496371091208387</c:v>
                </c:pt>
                <c:pt idx="10">
                  <c:v>0.45430222155589961</c:v>
                </c:pt>
                <c:pt idx="11">
                  <c:v>0.4660667669216001</c:v>
                </c:pt>
                <c:pt idx="12">
                  <c:v>0.48201677532129938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E-409A-A7D5-A01920E30541}"/>
            </c:ext>
          </c:extLst>
        </c:ser>
        <c:ser>
          <c:idx val="7"/>
          <c:order val="7"/>
          <c:tx>
            <c:strRef>
              <c:f>compare!$I$22</c:f>
              <c:strCache>
                <c:ptCount val="1"/>
                <c:pt idx="0">
                  <c:v>RC12 "B" ORIGINAL LENGTH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D8B-41AC-9EE8-133FA907AC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D8B-41AC-9EE8-133FA907AC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D8B-41AC-9EE8-133FA907AC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D8B-41AC-9EE8-133FA907ACB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D8B-41AC-9EE8-133FA907ACB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D8B-41AC-9EE8-133FA907ACB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D8B-41AC-9EE8-133FA907ACB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D8B-41AC-9EE8-133FA907ACB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D8B-41AC-9EE8-133FA907ACB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D8B-41AC-9EE8-133FA907ACB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D8B-41AC-9EE8-133FA907ACB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D8B-41AC-9EE8-133FA907ACB1}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D5F6C-A39B-471A-9266-8FC914D020C0}" type="SERIESNAME">
                      <a:rPr lang="en-US">
                        <a:solidFill>
                          <a:srgbClr val="00B050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CA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50"/>
                  </a:solidFill>
                </a:ln>
                <a:effectLst/>
              </c:sp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3D8B-41AC-9EE8-133FA907ACB1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compare!$N$6:$N$18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compare!$P$6:$P$18</c:f>
              <c:numCache>
                <c:formatCode>General</c:formatCode>
                <c:ptCount val="13"/>
                <c:pt idx="0">
                  <c:v>0.28023160000000003</c:v>
                </c:pt>
                <c:pt idx="1">
                  <c:v>0.31168362091631252</c:v>
                </c:pt>
                <c:pt idx="2">
                  <c:v>0.41060419946200011</c:v>
                </c:pt>
                <c:pt idx="3">
                  <c:v>0.43340526125765438</c:v>
                </c:pt>
                <c:pt idx="4">
                  <c:v>0.44719898518856271</c:v>
                </c:pt>
                <c:pt idx="5">
                  <c:v>0.45310429850326006</c:v>
                </c:pt>
                <c:pt idx="6">
                  <c:v>0.45323777171200008</c:v>
                </c:pt>
                <c:pt idx="7">
                  <c:v>0.45011474871370893</c:v>
                </c:pt>
                <c:pt idx="8">
                  <c:v>0.44605047692293742</c:v>
                </c:pt>
                <c:pt idx="9">
                  <c:v>0.4425612373968153</c:v>
                </c:pt>
                <c:pt idx="10">
                  <c:v>0.43976547496200036</c:v>
                </c:pt>
                <c:pt idx="11">
                  <c:v>0.43684835900800234</c:v>
                </c:pt>
                <c:pt idx="12">
                  <c:v>0.4310927009740011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E-409A-A7D5-A01920E30541}"/>
            </c:ext>
          </c:extLst>
        </c:ser>
        <c:ser>
          <c:idx val="10"/>
          <c:order val="10"/>
          <c:tx>
            <c:strRef>
              <c:f>compare!$I$25</c:f>
              <c:strCache>
                <c:ptCount val="1"/>
                <c:pt idx="0">
                  <c:v>RC12 "C" 25.6mm POWER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D8B-41AC-9EE8-133FA907AC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D8B-41AC-9EE8-133FA907AC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D8B-41AC-9EE8-133FA907AC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D8B-41AC-9EE8-133FA907ACB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D8B-41AC-9EE8-133FA907ACB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D8B-41AC-9EE8-133FA907ACB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D8B-41AC-9EE8-133FA907ACB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D8B-41AC-9EE8-133FA907ACB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D8B-41AC-9EE8-133FA907ACB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D8B-41AC-9EE8-133FA907ACB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D8B-41AC-9EE8-133FA907ACB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D8B-41AC-9EE8-133FA907ACB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42DD7B0-F097-42DC-980D-A56CCD2EE6B0}" type="SERIESNAME">
                      <a:rPr lang="en-US">
                        <a:solidFill>
                          <a:srgbClr val="7030A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3D8B-41AC-9EE8-133FA907ACB1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compare!$R$6:$R$18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compare!$T$6:$T$18</c:f>
              <c:numCache>
                <c:formatCode>General</c:formatCode>
                <c:ptCount val="13"/>
                <c:pt idx="0">
                  <c:v>0.24524750000000001</c:v>
                </c:pt>
                <c:pt idx="1">
                  <c:v>0.28866802936928432</c:v>
                </c:pt>
                <c:pt idx="2">
                  <c:v>0.36714418788710002</c:v>
                </c:pt>
                <c:pt idx="3">
                  <c:v>0.39024612351545207</c:v>
                </c:pt>
                <c:pt idx="4">
                  <c:v>0.40863031870452182</c:v>
                </c:pt>
                <c:pt idx="5">
                  <c:v>0.42213672079158976</c:v>
                </c:pt>
                <c:pt idx="6">
                  <c:v>0.43126485416960003</c:v>
                </c:pt>
                <c:pt idx="7">
                  <c:v>0.43706631734526641</c:v>
                </c:pt>
                <c:pt idx="8">
                  <c:v>0.44103727999717834</c:v>
                </c:pt>
                <c:pt idx="9">
                  <c:v>0.44501098003390405</c:v>
                </c:pt>
                <c:pt idx="10">
                  <c:v>0.45105022065209949</c:v>
                </c:pt>
                <c:pt idx="11">
                  <c:v>0.45883567591039998</c:v>
                </c:pt>
                <c:pt idx="12">
                  <c:v>0.47047142541469944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BDE-409A-A7D5-A01920E30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365296"/>
        <c:axId val="996390784"/>
      </c:scatterChart>
      <c:valAx>
        <c:axId val="1000807760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83440"/>
        <c:crosses val="autoZero"/>
        <c:crossBetween val="midCat"/>
      </c:valAx>
      <c:valAx>
        <c:axId val="996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07760"/>
        <c:crosses val="autoZero"/>
        <c:crossBetween val="midCat"/>
      </c:valAx>
      <c:valAx>
        <c:axId val="996390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65296"/>
        <c:crosses val="max"/>
        <c:crossBetween val="midCat"/>
      </c:valAx>
      <c:valAx>
        <c:axId val="99636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639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RC12 review PREMIER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CORRECTED TO 3500rpm and SG=1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021395894788502E-2"/>
          <c:y val="8.0989898989898987E-2"/>
          <c:w val="0.92969054142057173"/>
          <c:h val="0.735023462976218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compare!$G$21</c:f>
              <c:strCache>
                <c:ptCount val="1"/>
                <c:pt idx="0">
                  <c:v>catalog curve TDH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E9-4D51-9AE3-3E6B9B72203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E9-4D51-9AE3-3E6B9B7220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E9-4D51-9AE3-3E6B9B7220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E9-4D51-9AE3-3E6B9B7220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E9-4D51-9AE3-3E6B9B7220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E9-4D51-9AE3-3E6B9B7220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E9-4D51-9AE3-3E6B9B7220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E9-4D51-9AE3-3E6B9B72203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E9-4D51-9AE3-3E6B9B7220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E9-4D51-9AE3-3E6B9B7220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E9-4D51-9AE3-3E6B9B7220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E9-4D51-9AE3-3E6B9B72203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57B2C9B-3D17-41F7-9811-589FC93A705D}" type="SERIESNAME">
                      <a:rPr lang="en-US">
                        <a:solidFill>
                          <a:srgbClr val="FF000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D2E9-4D51-9AE3-3E6B9B72203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compare!$A$6:$A$18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compare!$B$6:$B$18</c:f>
              <c:numCache>
                <c:formatCode>General</c:formatCode>
                <c:ptCount val="13"/>
                <c:pt idx="0">
                  <c:v>34.578919999999997</c:v>
                </c:pt>
                <c:pt idx="1">
                  <c:v>34.024158746931249</c:v>
                </c:pt>
                <c:pt idx="2">
                  <c:v>32.470848099800001</c:v>
                </c:pt>
                <c:pt idx="3">
                  <c:v>31.689462103857611</c:v>
                </c:pt>
                <c:pt idx="4">
                  <c:v>30.623455699956246</c:v>
                </c:pt>
                <c:pt idx="5">
                  <c:v>29.130005821933786</c:v>
                </c:pt>
                <c:pt idx="6">
                  <c:v>27.062060604799996</c:v>
                </c:pt>
                <c:pt idx="7">
                  <c:v>24.285252983369322</c:v>
                </c:pt>
                <c:pt idx="8">
                  <c:v>20.694814290893756</c:v>
                </c:pt>
                <c:pt idx="9">
                  <c:v>16.232487857695538</c:v>
                </c:pt>
                <c:pt idx="10">
                  <c:v>10.90344260980001</c:v>
                </c:pt>
                <c:pt idx="11">
                  <c:v>6.0704990191999997</c:v>
                </c:pt>
                <c:pt idx="12">
                  <c:v>0.82352819660003718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2E9-4D51-9AE3-3E6B9B722030}"/>
            </c:ext>
          </c:extLst>
        </c:ser>
        <c:ser>
          <c:idx val="2"/>
          <c:order val="2"/>
          <c:tx>
            <c:strRef>
              <c:f>compare!$G$23</c:f>
              <c:strCache>
                <c:ptCount val="1"/>
                <c:pt idx="0">
                  <c:v>catalog curve EFF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6"/>
              <c:tx>
                <c:rich>
                  <a:bodyPr/>
                  <a:lstStyle/>
                  <a:p>
                    <a:fld id="{8A18F3DE-3505-411F-A1CB-7038D8F8CC5A}" type="SERIESNAME">
                      <a:rPr lang="en-US">
                        <a:solidFill>
                          <a:srgbClr val="FF000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D2E9-4D51-9AE3-3E6B9B722030}"/>
                </c:ext>
              </c:extLst>
            </c:dLbl>
            <c:spPr>
              <a:noFill/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compare!$A$6:$A$18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compare!$D$6:$D$18</c:f>
              <c:numCache>
                <c:formatCode>General</c:formatCode>
                <c:ptCount val="13"/>
                <c:pt idx="6">
                  <c:v>63.643217992758629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2E9-4D51-9AE3-3E6B9B722030}"/>
            </c:ext>
          </c:extLst>
        </c:ser>
        <c:ser>
          <c:idx val="3"/>
          <c:order val="3"/>
          <c:tx>
            <c:strRef>
              <c:f>compare!$G$24</c:f>
              <c:strCache>
                <c:ptCount val="1"/>
                <c:pt idx="0">
                  <c:v>RC12 "A" 26.2mm TDH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E9-4D51-9AE3-3E6B9B72203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2E9-4D51-9AE3-3E6B9B7220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E9-4D51-9AE3-3E6B9B7220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2E9-4D51-9AE3-3E6B9B7220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2E9-4D51-9AE3-3E6B9B7220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E9-4D51-9AE3-3E6B9B7220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E9-4D51-9AE3-3E6B9B7220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E9-4D51-9AE3-3E6B9B72203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2E9-4D51-9AE3-3E6B9B7220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2E9-4D51-9AE3-3E6B9B7220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2E9-4D51-9AE3-3E6B9B7220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2E9-4D51-9AE3-3E6B9B72203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B33BB85-52B0-45C6-858D-AEBE5746835E}" type="SERIESNAME">
                      <a:rPr lang="en-US">
                        <a:solidFill>
                          <a:srgbClr val="0070C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D2E9-4D51-9AE3-3E6B9B72203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compare!$J$6:$J$18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compare!$K$6:$K$18</c:f>
              <c:numCache>
                <c:formatCode>General</c:formatCode>
                <c:ptCount val="13"/>
                <c:pt idx="0">
                  <c:v>33.5443</c:v>
                </c:pt>
                <c:pt idx="1">
                  <c:v>34.090469574958433</c:v>
                </c:pt>
                <c:pt idx="2">
                  <c:v>34.452738200669998</c:v>
                </c:pt>
                <c:pt idx="3">
                  <c:v>34.047951952794271</c:v>
                </c:pt>
                <c:pt idx="4">
                  <c:v>33.119929532162196</c:v>
                </c:pt>
                <c:pt idx="5">
                  <c:v>31.533916059611165</c:v>
                </c:pt>
                <c:pt idx="6">
                  <c:v>29.189825345919992</c:v>
                </c:pt>
                <c:pt idx="7">
                  <c:v>26.039336746056961</c:v>
                </c:pt>
                <c:pt idx="8">
                  <c:v>22.102992013427802</c:v>
                </c:pt>
                <c:pt idx="9">
                  <c:v>17.487292154123864</c:v>
                </c:pt>
                <c:pt idx="10">
                  <c:v>12.401794281169998</c:v>
                </c:pt>
                <c:pt idx="11">
                  <c:v>8.2122328580799859</c:v>
                </c:pt>
                <c:pt idx="12">
                  <c:v>4.1616484071899862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D2E9-4D51-9AE3-3E6B9B722030}"/>
            </c:ext>
          </c:extLst>
        </c:ser>
        <c:ser>
          <c:idx val="5"/>
          <c:order val="5"/>
          <c:tx>
            <c:strRef>
              <c:f>compare!$G$26</c:f>
              <c:strCache>
                <c:ptCount val="1"/>
                <c:pt idx="0">
                  <c:v>RC12 "A" 26.2mm EFF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9F629F4-AF9E-443A-9361-E432F07E4E13}" type="SERIESNAME">
                      <a:rPr lang="en-US">
                        <a:solidFill>
                          <a:srgbClr val="0070C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E-D2E9-4D51-9AE3-3E6B9B72203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compare!$J$12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compare!$M$12</c:f>
              <c:numCache>
                <c:formatCode>General</c:formatCode>
                <c:ptCount val="1"/>
                <c:pt idx="0">
                  <c:v>59.238589736026597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D2E9-4D51-9AE3-3E6B9B722030}"/>
            </c:ext>
          </c:extLst>
        </c:ser>
        <c:ser>
          <c:idx val="9"/>
          <c:order val="6"/>
          <c:tx>
            <c:strRef>
              <c:f>compare!$G$27</c:f>
              <c:strCache>
                <c:ptCount val="1"/>
                <c:pt idx="0">
                  <c:v>RC12 final TDH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D2E9-4D51-9AE3-3E6B9B72203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2E9-4D51-9AE3-3E6B9B72203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2E9-4D51-9AE3-3E6B9B7220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2E9-4D51-9AE3-3E6B9B7220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2E9-4D51-9AE3-3E6B9B7220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2E9-4D51-9AE3-3E6B9B7220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2E9-4D51-9AE3-3E6B9B7220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D2E9-4D51-9AE3-3E6B9B7220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2E9-4D51-9AE3-3E6B9B72203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D2E9-4D51-9AE3-3E6B9B7220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D2E9-4D51-9AE3-3E6B9B7220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D2E9-4D51-9AE3-3E6B9B7220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2E9-4D51-9AE3-3E6B9B722030}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8DA21B3-FFB0-48FF-A7AB-CB3613CF9851}" type="SERIESNAME">
                      <a:rPr lang="en-US">
                        <a:solidFill>
                          <a:srgbClr val="7030A0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CA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7030A0"/>
                  </a:solidFill>
                </a:ln>
                <a:effectLst/>
              </c:sp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D-D2E9-4D51-9AE3-3E6B9B7220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compare!$V$6:$V$18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compare!$W$6:$W$18</c:f>
              <c:numCache>
                <c:formatCode>General</c:formatCode>
                <c:ptCount val="13"/>
                <c:pt idx="0">
                  <c:v>36.152349999999998</c:v>
                </c:pt>
                <c:pt idx="1">
                  <c:v>36.251157285084368</c:v>
                </c:pt>
                <c:pt idx="2">
                  <c:v>35.861532179700006</c:v>
                </c:pt>
                <c:pt idx="3">
                  <c:v>35.061253102143844</c:v>
                </c:pt>
                <c:pt idx="4">
                  <c:v>33.814827840871864</c:v>
                </c:pt>
                <c:pt idx="5">
                  <c:v>32.098017238535441</c:v>
                </c:pt>
                <c:pt idx="6">
                  <c:v>29.903932787200006</c:v>
                </c:pt>
                <c:pt idx="7">
                  <c:v>27.236967817309861</c:v>
                </c:pt>
                <c:pt idx="8">
                  <c:v>24.106728686653131</c:v>
                </c:pt>
                <c:pt idx="9">
                  <c:v>20.521965969326455</c:v>
                </c:pt>
                <c:pt idx="10">
                  <c:v>16.4845056447</c:v>
                </c:pt>
                <c:pt idx="11">
                  <c:v>12.921682148800013</c:v>
                </c:pt>
                <c:pt idx="12">
                  <c:v>9.0481290848999905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D2E9-4D51-9AE3-3E6B9B722030}"/>
            </c:ext>
          </c:extLst>
        </c:ser>
        <c:ser>
          <c:idx val="11"/>
          <c:order val="8"/>
          <c:tx>
            <c:strRef>
              <c:f>compare!$G$29</c:f>
              <c:strCache>
                <c:ptCount val="1"/>
                <c:pt idx="0">
                  <c:v>RC12 final EFF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292E196-92B9-4F93-AF72-F6A9EF447DB1}" type="SERIESNAME">
                      <a:rPr lang="en-US">
                        <a:solidFill>
                          <a:srgbClr val="7030A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F-D2E9-4D51-9AE3-3E6B9B72203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compare!$V$12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compare!$Y$12</c:f>
              <c:numCache>
                <c:formatCode>General</c:formatCode>
                <c:ptCount val="1"/>
                <c:pt idx="0">
                  <c:v>61.196206797099919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D2E9-4D51-9AE3-3E6B9B722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807760"/>
        <c:axId val="996383440"/>
      </c:scatterChart>
      <c:scatterChart>
        <c:scatterStyle val="smoothMarker"/>
        <c:varyColors val="0"/>
        <c:ser>
          <c:idx val="1"/>
          <c:order val="1"/>
          <c:tx>
            <c:strRef>
              <c:f>compare!$G$22</c:f>
              <c:strCache>
                <c:ptCount val="1"/>
                <c:pt idx="0">
                  <c:v>catalog curve POWER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D2E9-4D51-9AE3-3E6B9B72203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D2E9-4D51-9AE3-3E6B9B7220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D2E9-4D51-9AE3-3E6B9B7220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D2E9-4D51-9AE3-3E6B9B7220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D2E9-4D51-9AE3-3E6B9B7220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D2E9-4D51-9AE3-3E6B9B7220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D2E9-4D51-9AE3-3E6B9B7220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D2E9-4D51-9AE3-3E6B9B72203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D2E9-4D51-9AE3-3E6B9B7220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D2E9-4D51-9AE3-3E6B9B7220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D2E9-4D51-9AE3-3E6B9B7220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D2E9-4D51-9AE3-3E6B9B72203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C5EB27C-A3B8-47C4-8727-6EE095DBC04F}" type="SERIESNAME">
                      <a:rPr lang="en-US">
                        <a:solidFill>
                          <a:srgbClr val="FF0000"/>
                        </a:solidFill>
                      </a:rPr>
                      <a:pPr/>
                      <a:t>[SERIES NAME]</a:t>
                    </a:fld>
                    <a:r>
                      <a:rPr lang="en-US" baseline="0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D-D2E9-4D51-9AE3-3E6B9B72203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compare!$A$6:$A$18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compare!$C$6:$C$18</c:f>
              <c:numCache>
                <c:formatCode>General</c:formatCode>
                <c:ptCount val="13"/>
                <c:pt idx="0">
                  <c:v>0.25501099999999999</c:v>
                </c:pt>
                <c:pt idx="1">
                  <c:v>0.29064644929765621</c:v>
                </c:pt>
                <c:pt idx="2">
                  <c:v>0.33873762042499994</c:v>
                </c:pt>
                <c:pt idx="3">
                  <c:v>0.35255181358210447</c:v>
                </c:pt>
                <c:pt idx="4">
                  <c:v>0.36344069891328118</c:v>
                </c:pt>
                <c:pt idx="5">
                  <c:v>0.37117844488166507</c:v>
                </c:pt>
                <c:pt idx="6">
                  <c:v>0.37581834079999993</c:v>
                </c:pt>
                <c:pt idx="7">
                  <c:v>0.37764609578083502</c:v>
                </c:pt>
                <c:pt idx="8">
                  <c:v>0.37713313768671869</c:v>
                </c:pt>
                <c:pt idx="9">
                  <c:v>0.37488991208039563</c:v>
                </c:pt>
                <c:pt idx="10">
                  <c:v>0.37161918117500009</c:v>
                </c:pt>
                <c:pt idx="11">
                  <c:v>0.3687653623999998</c:v>
                </c:pt>
                <c:pt idx="12">
                  <c:v>0.36611774412499992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D2E9-4D51-9AE3-3E6B9B722030}"/>
            </c:ext>
          </c:extLst>
        </c:ser>
        <c:ser>
          <c:idx val="4"/>
          <c:order val="4"/>
          <c:tx>
            <c:strRef>
              <c:f>compare!$G$25</c:f>
              <c:strCache>
                <c:ptCount val="1"/>
                <c:pt idx="0">
                  <c:v>RC12 "A" 26.2mm POWER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D2E9-4D51-9AE3-3E6B9B72203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D2E9-4D51-9AE3-3E6B9B7220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D2E9-4D51-9AE3-3E6B9B7220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D2E9-4D51-9AE3-3E6B9B7220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D2E9-4D51-9AE3-3E6B9B7220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D2E9-4D51-9AE3-3E6B9B7220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D2E9-4D51-9AE3-3E6B9B7220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D2E9-4D51-9AE3-3E6B9B72203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D2E9-4D51-9AE3-3E6B9B7220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D2E9-4D51-9AE3-3E6B9B7220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D2E9-4D51-9AE3-3E6B9B7220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D2E9-4D51-9AE3-3E6B9B72203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376FFBA-E9C0-4C93-B36E-96602804AA16}" type="SERIESNAME">
                      <a:rPr lang="en-US">
                        <a:solidFill>
                          <a:srgbClr val="0070C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B-D2E9-4D51-9AE3-3E6B9B72203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compare!$J$6:$J$18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compare!$L$6:$L$18</c:f>
              <c:numCache>
                <c:formatCode>General</c:formatCode>
                <c:ptCount val="13"/>
                <c:pt idx="0">
                  <c:v>0.26505289999999998</c:v>
                </c:pt>
                <c:pt idx="1">
                  <c:v>0.29691888783784059</c:v>
                </c:pt>
                <c:pt idx="2">
                  <c:v>0.38305715272089985</c:v>
                </c:pt>
                <c:pt idx="3">
                  <c:v>0.40544651062018461</c:v>
                </c:pt>
                <c:pt idx="4">
                  <c:v>0.42110566331910304</c:v>
                </c:pt>
                <c:pt idx="5">
                  <c:v>0.43060220573135166</c:v>
                </c:pt>
                <c:pt idx="6">
                  <c:v>0.43545836723839981</c:v>
                </c:pt>
                <c:pt idx="7">
                  <c:v>0.43782897996341696</c:v>
                </c:pt>
                <c:pt idx="8">
                  <c:v>0.44017944704519685</c:v>
                </c:pt>
                <c:pt idx="9">
                  <c:v>0.44496371091208387</c:v>
                </c:pt>
                <c:pt idx="10">
                  <c:v>0.45430222155589961</c:v>
                </c:pt>
                <c:pt idx="11">
                  <c:v>0.4660667669216001</c:v>
                </c:pt>
                <c:pt idx="12">
                  <c:v>0.48201677532129938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D2E9-4D51-9AE3-3E6B9B722030}"/>
            </c:ext>
          </c:extLst>
        </c:ser>
        <c:ser>
          <c:idx val="10"/>
          <c:order val="7"/>
          <c:tx>
            <c:strRef>
              <c:f>compare!$G$28</c:f>
              <c:strCache>
                <c:ptCount val="1"/>
                <c:pt idx="0">
                  <c:v>RC12 final POWER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D2E9-4D51-9AE3-3E6B9B72203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D2E9-4D51-9AE3-3E6B9B7220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D2E9-4D51-9AE3-3E6B9B7220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D2E9-4D51-9AE3-3E6B9B7220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D2E9-4D51-9AE3-3E6B9B7220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D2E9-4D51-9AE3-3E6B9B7220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D2E9-4D51-9AE3-3E6B9B7220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D2E9-4D51-9AE3-3E6B9B72203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D2E9-4D51-9AE3-3E6B9B7220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D2E9-4D51-9AE3-3E6B9B7220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D2E9-4D51-9AE3-3E6B9B7220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D2E9-4D51-9AE3-3E6B9B72203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42DD7B0-F097-42DC-980D-A56CCD2EE6B0}" type="SERIESNAME">
                      <a:rPr lang="en-US">
                        <a:solidFill>
                          <a:srgbClr val="7030A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77-D2E9-4D51-9AE3-3E6B9B72203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compare!$V$6:$V$18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compare!$X$6:$X$18</c:f>
              <c:numCache>
                <c:formatCode>General</c:formatCode>
                <c:ptCount val="13"/>
                <c:pt idx="0">
                  <c:v>0.2451998</c:v>
                </c:pt>
                <c:pt idx="1">
                  <c:v>0.2962067484775156</c:v>
                </c:pt>
                <c:pt idx="2">
                  <c:v>0.37116667237049994</c:v>
                </c:pt>
                <c:pt idx="3">
                  <c:v>0.39244381137331985</c:v>
                </c:pt>
                <c:pt idx="4">
                  <c:v>0.40942515561307796</c:v>
                </c:pt>
                <c:pt idx="5">
                  <c:v>0.42230484685796316</c:v>
                </c:pt>
                <c:pt idx="6">
                  <c:v>0.43184078700799983</c:v>
                </c:pt>
                <c:pt idx="7">
                  <c:v>0.43922571408381783</c:v>
                </c:pt>
                <c:pt idx="8">
                  <c:v>0.44595827821542172</c:v>
                </c:pt>
                <c:pt idx="9">
                  <c:v>0.45371411763096114</c:v>
                </c:pt>
                <c:pt idx="10">
                  <c:v>0.46421693464549935</c:v>
                </c:pt>
                <c:pt idx="11">
                  <c:v>0.47570701131199955</c:v>
                </c:pt>
                <c:pt idx="12">
                  <c:v>0.490761008308499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8-D2E9-4D51-9AE3-3E6B9B722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365296"/>
        <c:axId val="996390784"/>
      </c:scatterChart>
      <c:valAx>
        <c:axId val="1000807760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83440"/>
        <c:crosses val="autoZero"/>
        <c:crossBetween val="midCat"/>
      </c:valAx>
      <c:valAx>
        <c:axId val="996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07760"/>
        <c:crosses val="autoZero"/>
        <c:crossBetween val="midCat"/>
      </c:valAx>
      <c:valAx>
        <c:axId val="996390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65296"/>
        <c:crosses val="max"/>
        <c:crossBetween val="midCat"/>
      </c:valAx>
      <c:valAx>
        <c:axId val="99636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639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TDH - OD 538-KOMP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'538-KOMP NPSH'!$A$5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'538-KOMP NPSH'!$A$9:$A$21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'538-KOMP NPSH'!$B$9:$B$21</c:f>
              <c:numCache>
                <c:formatCode>0.0000</c:formatCode>
                <c:ptCount val="13"/>
                <c:pt idx="0">
                  <c:v>54.3</c:v>
                </c:pt>
                <c:pt idx="1">
                  <c:v>53.22123634755566</c:v>
                </c:pt>
                <c:pt idx="2">
                  <c:v>52.245569806781255</c:v>
                </c:pt>
                <c:pt idx="3">
                  <c:v>46.598216124680064</c:v>
                </c:pt>
                <c:pt idx="4">
                  <c:v>40.537465397409534</c:v>
                </c:pt>
                <c:pt idx="5">
                  <c:v>33.399631371634094</c:v>
                </c:pt>
                <c:pt idx="6">
                  <c:v>26.279702160517104</c:v>
                </c:pt>
                <c:pt idx="7">
                  <c:v>23.055908562691634</c:v>
                </c:pt>
                <c:pt idx="8">
                  <c:v>19.756738027207419</c:v>
                </c:pt>
                <c:pt idx="9">
                  <c:v>15.946139712867335</c:v>
                </c:pt>
                <c:pt idx="10">
                  <c:v>10.878983427000009</c:v>
                </c:pt>
                <c:pt idx="11">
                  <c:v>6.8777239709687876</c:v>
                </c:pt>
                <c:pt idx="12">
                  <c:v>1.7660538239999255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3-46B3-BDE8-18B57136BAC3}"/>
            </c:ext>
          </c:extLst>
        </c:ser>
        <c:ser>
          <c:idx val="1"/>
          <c:order val="1"/>
          <c:tx>
            <c:strRef>
              <c:f>'538-KOMP NPSH'!$D$6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'538-KOMP NPSH'!$A$11:$A$19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'538-KOMP NPSH'!$E$11:$E$19</c:f>
              <c:numCache>
                <c:formatCode>0.0000</c:formatCode>
                <c:ptCount val="9"/>
                <c:pt idx="0">
                  <c:v>54.956140493918511</c:v>
                </c:pt>
                <c:pt idx="1">
                  <c:v>49.294480775551101</c:v>
                </c:pt>
                <c:pt idx="2">
                  <c:v>43.360902274433364</c:v>
                </c:pt>
                <c:pt idx="3">
                  <c:v>36.332462867010086</c:v>
                </c:pt>
                <c:pt idx="4">
                  <c:v>29.142190385995498</c:v>
                </c:pt>
                <c:pt idx="5">
                  <c:v>25.883351678633328</c:v>
                </c:pt>
                <c:pt idx="6">
                  <c:v>22.670211021019703</c:v>
                </c:pt>
                <c:pt idx="7">
                  <c:v>19.232937014906632</c:v>
                </c:pt>
                <c:pt idx="8">
                  <c:v>15.06778191805973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03-46B3-BDE8-18B57136BAC3}"/>
            </c:ext>
          </c:extLst>
        </c:ser>
        <c:ser>
          <c:idx val="2"/>
          <c:order val="2"/>
          <c:tx>
            <c:strRef>
              <c:f>'538-KOMP NPSH'!$F$6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'538-KOMP NPSH'!$A$11:$A$19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'538-KOMP NPSH'!$G$11:$G$19</c:f>
              <c:numCache>
                <c:formatCode>0.0000</c:formatCode>
                <c:ptCount val="9"/>
                <c:pt idx="0">
                  <c:v>49.545116731677162</c:v>
                </c:pt>
                <c:pt idx="1">
                  <c:v>43.933824081786462</c:v>
                </c:pt>
                <c:pt idx="2">
                  <c:v>37.774785601973889</c:v>
                </c:pt>
                <c:pt idx="3">
                  <c:v>30.589236341325019</c:v>
                </c:pt>
                <c:pt idx="4">
                  <c:v>23.589097694949103</c:v>
                </c:pt>
                <c:pt idx="5">
                  <c:v>20.373858005058374</c:v>
                </c:pt>
                <c:pt idx="6">
                  <c:v>16.886386393688504</c:v>
                </c:pt>
                <c:pt idx="7">
                  <c:v>12.477690658235751</c:v>
                </c:pt>
                <c:pt idx="8">
                  <c:v>6.100804721708883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03-46B3-BDE8-18B57136BAC3}"/>
            </c:ext>
          </c:extLst>
        </c:ser>
        <c:ser>
          <c:idx val="3"/>
          <c:order val="3"/>
          <c:tx>
            <c:strRef>
              <c:f>'538-KOMP NPSH'!$T$56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'538-KOMP NPSH'!$T$60:$T$72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'538-KOMP NPSH'!$U$60:$U$72</c:f>
              <c:numCache>
                <c:formatCode>0.0000</c:formatCode>
                <c:ptCount val="13"/>
                <c:pt idx="0">
                  <c:v>51.682510000000001</c:v>
                </c:pt>
                <c:pt idx="1">
                  <c:v>50.23598199010938</c:v>
                </c:pt>
                <c:pt idx="2">
                  <c:v>48.802616615499993</c:v>
                </c:pt>
                <c:pt idx="3">
                  <c:v>39.515027310329032</c:v>
                </c:pt>
                <c:pt idx="4">
                  <c:v>32.493541161921172</c:v>
                </c:pt>
                <c:pt idx="5">
                  <c:v>27.207603683536085</c:v>
                </c:pt>
                <c:pt idx="6">
                  <c:v>21.189105794252796</c:v>
                </c:pt>
                <c:pt idx="7">
                  <c:v>16.832429630031172</c:v>
                </c:pt>
                <c:pt idx="8">
                  <c:v>10.684853920232797</c:v>
                </c:pt>
                <c:pt idx="9">
                  <c:v>2.003347736671671</c:v>
                </c:pt>
                <c:pt idx="10">
                  <c:v>-10.057010942000005</c:v>
                </c:pt>
                <c:pt idx="11">
                  <c:v>-19.107046607000029</c:v>
                </c:pt>
                <c:pt idx="12">
                  <c:v>-29.861116112000019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03-46B3-BDE8-18B57136BAC3}"/>
            </c:ext>
          </c:extLst>
        </c:ser>
        <c:ser>
          <c:idx val="4"/>
          <c:order val="4"/>
          <c:tx>
            <c:strRef>
              <c:f>'538-KOMP NPSH'!$H$56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'538-KOMP NPSH'!$I$60:$I$67</c:f>
              <c:numCache>
                <c:formatCode>0.00</c:formatCode>
                <c:ptCount val="8"/>
                <c:pt idx="0">
                  <c:v>33.880000000000003</c:v>
                </c:pt>
                <c:pt idx="1">
                  <c:v>5191.1400000000003</c:v>
                </c:pt>
                <c:pt idx="2">
                  <c:v>5954.76</c:v>
                </c:pt>
                <c:pt idx="3">
                  <c:v>6683.95</c:v>
                </c:pt>
                <c:pt idx="4">
                  <c:v>7382.47</c:v>
                </c:pt>
                <c:pt idx="5">
                  <c:v>8073.71</c:v>
                </c:pt>
                <c:pt idx="6">
                  <c:v>8809.01</c:v>
                </c:pt>
                <c:pt idx="7">
                  <c:v>10093.31</c:v>
                </c:pt>
              </c:numCache>
            </c:numRef>
          </c:xVal>
          <c:yVal>
            <c:numRef>
              <c:f>'538-KOMP NPSH'!$L$60:$L$67</c:f>
              <c:numCache>
                <c:formatCode>0.00</c:formatCode>
                <c:ptCount val="8"/>
                <c:pt idx="0">
                  <c:v>51.488</c:v>
                </c:pt>
                <c:pt idx="1">
                  <c:v>28.8565</c:v>
                </c:pt>
                <c:pt idx="2">
                  <c:v>26.911999999999999</c:v>
                </c:pt>
                <c:pt idx="3">
                  <c:v>25.1645</c:v>
                </c:pt>
                <c:pt idx="4">
                  <c:v>21.690999999999999</c:v>
                </c:pt>
                <c:pt idx="5">
                  <c:v>18.4025</c:v>
                </c:pt>
                <c:pt idx="6">
                  <c:v>15.054499999999999</c:v>
                </c:pt>
                <c:pt idx="7">
                  <c:v>2.585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03-46B3-BDE8-18B57136BAC3}"/>
            </c:ext>
          </c:extLst>
        </c:ser>
        <c:ser>
          <c:idx val="5"/>
          <c:order val="5"/>
          <c:tx>
            <c:strRef>
              <c:f>'538-KOMP NPSH'!$J$8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 NPSH'!$J$9:$J$10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'538-KOMP NPSH'!$K$9:$K$10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03-46B3-BDE8-18B57136BAC3}"/>
            </c:ext>
          </c:extLst>
        </c:ser>
        <c:ser>
          <c:idx val="6"/>
          <c:order val="6"/>
          <c:tx>
            <c:strRef>
              <c:f>'538-KOMP NPSH'!$J$11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 NPSH'!$J$12:$J$13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'538-KOMP NPSH'!$K$12:$K$13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C03-46B3-BDE8-18B57136BAC3}"/>
            </c:ext>
          </c:extLst>
        </c:ser>
        <c:ser>
          <c:idx val="7"/>
          <c:order val="7"/>
          <c:tx>
            <c:strRef>
              <c:f>'538-KOMP NPSH'!$J$14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 NPSH'!$J$15:$J$16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'538-KOMP NPSH'!$K$15:$K$16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C03-46B3-BDE8-18B57136BAC3}"/>
            </c:ext>
          </c:extLst>
        </c:ser>
        <c:ser>
          <c:idx val="8"/>
          <c:order val="8"/>
          <c:tx>
            <c:strRef>
              <c:f>'538-KOMP NPSH'!$AA$5:$AD$5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'538-KOMP NPSH'!$AA$9:$AA$18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'538-KOMP NPSH'!$AB$9:$AB$18</c:f>
              <c:numCache>
                <c:formatCode>0.0000</c:formatCode>
                <c:ptCount val="10"/>
                <c:pt idx="0">
                  <c:v>49.358519999999999</c:v>
                </c:pt>
                <c:pt idx="1">
                  <c:v>49.228896456730176</c:v>
                </c:pt>
                <c:pt idx="2">
                  <c:v>48.950690946678115</c:v>
                </c:pt>
                <c:pt idx="3">
                  <c:v>43.716916304623318</c:v>
                </c:pt>
                <c:pt idx="4">
                  <c:v>35.650495457190601</c:v>
                </c:pt>
                <c:pt idx="5">
                  <c:v>27.929642264741499</c:v>
                </c:pt>
                <c:pt idx="6">
                  <c:v>21.539868960159218</c:v>
                </c:pt>
                <c:pt idx="7">
                  <c:v>18.378677333659461</c:v>
                </c:pt>
                <c:pt idx="8">
                  <c:v>14.368164098620092</c:v>
                </c:pt>
                <c:pt idx="9">
                  <c:v>8.5753894146402558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C03-46B3-BDE8-18B57136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  <c:max val="1200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8.5043999923173158E-2"/>
          <c:w val="0.29811987307556703"/>
          <c:h val="0.81961322984669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BRAKE POWER - OD 538-KOMP</a:t>
            </a:r>
          </a:p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'538-KOMP NPSH'!$A$5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'538-KOMP NPSH'!$A$9:$A$21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'538-KOMP NPSH'!$C$9:$C$21</c:f>
              <c:numCache>
                <c:formatCode>0.0000</c:formatCode>
                <c:ptCount val="13"/>
                <c:pt idx="0">
                  <c:v>2.8245</c:v>
                </c:pt>
                <c:pt idx="1">
                  <c:v>2.767020703856836</c:v>
                </c:pt>
                <c:pt idx="2">
                  <c:v>2.7212485692937505</c:v>
                </c:pt>
                <c:pt idx="3">
                  <c:v>2.5884125314547242</c:v>
                </c:pt>
                <c:pt idx="4">
                  <c:v>2.5398848447232392</c:v>
                </c:pt>
                <c:pt idx="5">
                  <c:v>2.4580554235397249</c:v>
                </c:pt>
                <c:pt idx="6">
                  <c:v>2.3771875742807049</c:v>
                </c:pt>
                <c:pt idx="7">
                  <c:v>2.3464532565127567</c:v>
                </c:pt>
                <c:pt idx="8">
                  <c:v>2.308011977164421</c:v>
                </c:pt>
                <c:pt idx="9">
                  <c:v>2.2339832894354554</c:v>
                </c:pt>
                <c:pt idx="10">
                  <c:v>2.0764822614000007</c:v>
                </c:pt>
                <c:pt idx="11">
                  <c:v>1.9168084970062509</c:v>
                </c:pt>
                <c:pt idx="12">
                  <c:v>1.6844520287999956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9E-45D6-90B2-FA0D51B92762}"/>
            </c:ext>
          </c:extLst>
        </c:ser>
        <c:ser>
          <c:idx val="0"/>
          <c:order val="1"/>
          <c:tx>
            <c:strRef>
              <c:f>'538-KOMP NPSH'!$H$7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'538-KOMP NPSH'!$A$11:$A$19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'538-KOMP NPSH'!$H$11:$H$19</c:f>
              <c:numCache>
                <c:formatCode>0.0000</c:formatCode>
                <c:ptCount val="9"/>
                <c:pt idx="0">
                  <c:v>2.5035486837502505</c:v>
                </c:pt>
                <c:pt idx="1">
                  <c:v>2.3813395289383466</c:v>
                </c:pt>
                <c:pt idx="2">
                  <c:v>2.33669405714538</c:v>
                </c:pt>
                <c:pt idx="3">
                  <c:v>2.2614109896565471</c:v>
                </c:pt>
                <c:pt idx="4">
                  <c:v>2.1870125683382486</c:v>
                </c:pt>
                <c:pt idx="5">
                  <c:v>2.1587369959917364</c:v>
                </c:pt>
                <c:pt idx="6">
                  <c:v>2.1233710189912673</c:v>
                </c:pt>
                <c:pt idx="7">
                  <c:v>2.0552646262806191</c:v>
                </c:pt>
                <c:pt idx="8">
                  <c:v>1.9103636804880006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9E-45D6-90B2-FA0D51B92762}"/>
            </c:ext>
          </c:extLst>
        </c:ser>
        <c:ser>
          <c:idx val="2"/>
          <c:order val="2"/>
          <c:tx>
            <c:strRef>
              <c:f>'538-KOMP NPSH'!$I$7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'538-KOMP NPSH'!$A$11:$A$19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'538-KOMP NPSH'!$I$11:$I$19</c:f>
              <c:numCache>
                <c:formatCode>0.0000</c:formatCode>
                <c:ptCount val="9"/>
                <c:pt idx="0">
                  <c:v>2.9389484548372509</c:v>
                </c:pt>
                <c:pt idx="1">
                  <c:v>2.7954855339711022</c:v>
                </c:pt>
                <c:pt idx="2">
                  <c:v>2.7430756323010983</c:v>
                </c:pt>
                <c:pt idx="3">
                  <c:v>2.6546998574229033</c:v>
                </c:pt>
                <c:pt idx="4">
                  <c:v>2.5673625802231617</c:v>
                </c:pt>
                <c:pt idx="5">
                  <c:v>2.5341695170337775</c:v>
                </c:pt>
                <c:pt idx="6">
                  <c:v>2.4926529353375746</c:v>
                </c:pt>
                <c:pt idx="7">
                  <c:v>2.4127019525902922</c:v>
                </c:pt>
                <c:pt idx="8">
                  <c:v>2.242600842312001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9E-45D6-90B2-FA0D51B92762}"/>
            </c:ext>
          </c:extLst>
        </c:ser>
        <c:ser>
          <c:idx val="3"/>
          <c:order val="3"/>
          <c:tx>
            <c:strRef>
              <c:f>'538-KOMP NPSH'!$T$56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'538-KOMP NPSH'!$T$60:$T$72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'538-KOMP NPSH'!$V$60:$V$72</c:f>
              <c:numCache>
                <c:formatCode>0.0000</c:formatCode>
                <c:ptCount val="13"/>
                <c:pt idx="0">
                  <c:v>2.7954810000000001</c:v>
                </c:pt>
                <c:pt idx="1">
                  <c:v>2.7919714515974219</c:v>
                </c:pt>
                <c:pt idx="2">
                  <c:v>2.7875299271837504</c:v>
                </c:pt>
                <c:pt idx="3">
                  <c:v>2.7406341939450769</c:v>
                </c:pt>
                <c:pt idx="4">
                  <c:v>2.692126973861936</c:v>
                </c:pt>
                <c:pt idx="5">
                  <c:v>2.6617152500606882</c:v>
                </c:pt>
                <c:pt idx="6">
                  <c:v>2.6490211545917441</c:v>
                </c:pt>
                <c:pt idx="7">
                  <c:v>2.6439945292434359</c:v>
                </c:pt>
                <c:pt idx="8">
                  <c:v>2.6347561755290942</c:v>
                </c:pt>
                <c:pt idx="9">
                  <c:v>2.6163718534565761</c:v>
                </c:pt>
                <c:pt idx="10">
                  <c:v>2.5828511115400001</c:v>
                </c:pt>
                <c:pt idx="11">
                  <c:v>2.5532663080337494</c:v>
                </c:pt>
                <c:pt idx="12">
                  <c:v>2.5144206038400005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9E-45D6-90B2-FA0D51B92762}"/>
            </c:ext>
          </c:extLst>
        </c:ser>
        <c:ser>
          <c:idx val="4"/>
          <c:order val="4"/>
          <c:tx>
            <c:strRef>
              <c:f>'538-KOMP NPSH'!$H$56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'538-KOMP NPSH'!$I$60:$I$67</c:f>
              <c:numCache>
                <c:formatCode>0.00</c:formatCode>
                <c:ptCount val="8"/>
                <c:pt idx="0">
                  <c:v>33.880000000000003</c:v>
                </c:pt>
                <c:pt idx="1">
                  <c:v>5191.1400000000003</c:v>
                </c:pt>
                <c:pt idx="2">
                  <c:v>5954.76</c:v>
                </c:pt>
                <c:pt idx="3">
                  <c:v>6683.95</c:v>
                </c:pt>
                <c:pt idx="4">
                  <c:v>7382.47</c:v>
                </c:pt>
                <c:pt idx="5">
                  <c:v>8073.71</c:v>
                </c:pt>
                <c:pt idx="6">
                  <c:v>8809.01</c:v>
                </c:pt>
                <c:pt idx="7">
                  <c:v>10093.31</c:v>
                </c:pt>
              </c:numCache>
            </c:numRef>
          </c:xVal>
          <c:yVal>
            <c:numRef>
              <c:f>'538-KOMP NPSH'!$O$60:$O$67</c:f>
              <c:numCache>
                <c:formatCode>0.00</c:formatCode>
                <c:ptCount val="8"/>
                <c:pt idx="0">
                  <c:v>2.7950500000000003</c:v>
                </c:pt>
                <c:pt idx="1">
                  <c:v>2.6717</c:v>
                </c:pt>
                <c:pt idx="2">
                  <c:v>2.6578499999999998</c:v>
                </c:pt>
                <c:pt idx="3">
                  <c:v>2.6524000000000001</c:v>
                </c:pt>
                <c:pt idx="4">
                  <c:v>2.6531500000000001</c:v>
                </c:pt>
                <c:pt idx="5">
                  <c:v>2.6484999999999999</c:v>
                </c:pt>
                <c:pt idx="6">
                  <c:v>2.6379000000000001</c:v>
                </c:pt>
                <c:pt idx="7">
                  <c:v>2.6185499999999999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9E-45D6-90B2-FA0D51B92762}"/>
            </c:ext>
          </c:extLst>
        </c:ser>
        <c:ser>
          <c:idx val="5"/>
          <c:order val="5"/>
          <c:tx>
            <c:strRef>
              <c:f>'538-KOMP NPSH'!$J$8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 NPSH'!$J$9:$J$10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'538-KOMP NPSH'!$L$9:$L$10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9E-45D6-90B2-FA0D51B92762}"/>
            </c:ext>
          </c:extLst>
        </c:ser>
        <c:ser>
          <c:idx val="6"/>
          <c:order val="6"/>
          <c:tx>
            <c:strRef>
              <c:f>'538-KOMP NPSH'!$J$11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 NPSH'!$J$12:$J$13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'538-KOMP NPSH'!$L$12:$L$13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9E-45D6-90B2-FA0D51B92762}"/>
            </c:ext>
          </c:extLst>
        </c:ser>
        <c:ser>
          <c:idx val="7"/>
          <c:order val="7"/>
          <c:tx>
            <c:strRef>
              <c:f>'538-KOMP NPSH'!$J$14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 NPSH'!$J$15:$J$16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'538-KOMP NPSH'!$L$15:$L$16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9E-45D6-90B2-FA0D51B92762}"/>
            </c:ext>
          </c:extLst>
        </c:ser>
        <c:ser>
          <c:idx val="8"/>
          <c:order val="8"/>
          <c:tx>
            <c:strRef>
              <c:f>'538-KOMP NPSH'!$AA$5:$AD$5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'538-KOMP NPSH'!$AA$9:$AA$18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'538-KOMP NPSH'!$AC$9:$AC$18</c:f>
              <c:numCache>
                <c:formatCode>0.0000</c:formatCode>
                <c:ptCount val="10"/>
                <c:pt idx="0">
                  <c:v>2.4825529999999998</c:v>
                </c:pt>
                <c:pt idx="1">
                  <c:v>2.5067409084975587</c:v>
                </c:pt>
                <c:pt idx="2">
                  <c:v>2.5300595685468745</c:v>
                </c:pt>
                <c:pt idx="3">
                  <c:v>2.6151728210666851</c:v>
                </c:pt>
                <c:pt idx="4">
                  <c:v>2.5367638003642363</c:v>
                </c:pt>
                <c:pt idx="5">
                  <c:v>2.422155956785792</c:v>
                </c:pt>
                <c:pt idx="6">
                  <c:v>2.4225584601600008</c:v>
                </c:pt>
                <c:pt idx="7">
                  <c:v>2.4646932915920923</c:v>
                </c:pt>
                <c:pt idx="8">
                  <c:v>2.4970357736174744</c:v>
                </c:pt>
                <c:pt idx="9">
                  <c:v>2.4598472573909049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9E-45D6-90B2-FA0D51B92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  <c:max val="12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3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23302905047986966"/>
          <c:w val="0.22394875549398618"/>
          <c:h val="0.61526112184405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TDH test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4"/>
            <c:dispRSqr val="0"/>
            <c:dispEq val="1"/>
            <c:trendlineLbl>
              <c:layout>
                <c:manualLayout>
                  <c:x val="4.15555026619705E-2"/>
                  <c:y val="-0.50584721846167824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'538-KOMP NPSH'!$I$60:$I$72</c:f>
              <c:numCache>
                <c:formatCode>0.00</c:formatCode>
                <c:ptCount val="13"/>
                <c:pt idx="0">
                  <c:v>33.880000000000003</c:v>
                </c:pt>
                <c:pt idx="1">
                  <c:v>5191.1400000000003</c:v>
                </c:pt>
                <c:pt idx="2">
                  <c:v>5954.76</c:v>
                </c:pt>
                <c:pt idx="3">
                  <c:v>6683.95</c:v>
                </c:pt>
                <c:pt idx="4">
                  <c:v>7382.47</c:v>
                </c:pt>
                <c:pt idx="5">
                  <c:v>8073.71</c:v>
                </c:pt>
                <c:pt idx="6">
                  <c:v>8809.01</c:v>
                </c:pt>
                <c:pt idx="7">
                  <c:v>10093.31</c:v>
                </c:pt>
              </c:numCache>
            </c:numRef>
          </c:xVal>
          <c:yVal>
            <c:numRef>
              <c:f>'538-KOMP NPSH'!$L$60:$L$72</c:f>
              <c:numCache>
                <c:formatCode>0.00</c:formatCode>
                <c:ptCount val="13"/>
                <c:pt idx="0">
                  <c:v>51.488</c:v>
                </c:pt>
                <c:pt idx="1">
                  <c:v>28.8565</c:v>
                </c:pt>
                <c:pt idx="2">
                  <c:v>26.911999999999999</c:v>
                </c:pt>
                <c:pt idx="3">
                  <c:v>25.1645</c:v>
                </c:pt>
                <c:pt idx="4">
                  <c:v>21.690999999999999</c:v>
                </c:pt>
                <c:pt idx="5">
                  <c:v>18.4025</c:v>
                </c:pt>
                <c:pt idx="6">
                  <c:v>15.054499999999999</c:v>
                </c:pt>
                <c:pt idx="7">
                  <c:v>2.585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B4-495C-9083-28865384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4"/>
            <c:dispRSqr val="0"/>
            <c:dispEq val="1"/>
            <c:trendlineLbl>
              <c:layout>
                <c:manualLayout>
                  <c:x val="8.3998850407551284E-2"/>
                  <c:y val="-0.49702826241366027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'538-KOMP NPSH'!$I$60:$I$72</c:f>
              <c:numCache>
                <c:formatCode>0.00</c:formatCode>
                <c:ptCount val="13"/>
                <c:pt idx="0">
                  <c:v>33.880000000000003</c:v>
                </c:pt>
                <c:pt idx="1">
                  <c:v>5191.1400000000003</c:v>
                </c:pt>
                <c:pt idx="2">
                  <c:v>5954.76</c:v>
                </c:pt>
                <c:pt idx="3">
                  <c:v>6683.95</c:v>
                </c:pt>
                <c:pt idx="4">
                  <c:v>7382.47</c:v>
                </c:pt>
                <c:pt idx="5">
                  <c:v>8073.71</c:v>
                </c:pt>
                <c:pt idx="6">
                  <c:v>8809.01</c:v>
                </c:pt>
                <c:pt idx="7">
                  <c:v>10093.31</c:v>
                </c:pt>
              </c:numCache>
            </c:numRef>
          </c:xVal>
          <c:yVal>
            <c:numRef>
              <c:f>'538-KOMP NPSH'!$O$60:$O$72</c:f>
              <c:numCache>
                <c:formatCode>0.00</c:formatCode>
                <c:ptCount val="13"/>
                <c:pt idx="0">
                  <c:v>2.7950500000000003</c:v>
                </c:pt>
                <c:pt idx="1">
                  <c:v>2.6717</c:v>
                </c:pt>
                <c:pt idx="2">
                  <c:v>2.6578499999999998</c:v>
                </c:pt>
                <c:pt idx="3">
                  <c:v>2.6524000000000001</c:v>
                </c:pt>
                <c:pt idx="4">
                  <c:v>2.6531500000000001</c:v>
                </c:pt>
                <c:pt idx="5">
                  <c:v>2.6484999999999999</c:v>
                </c:pt>
                <c:pt idx="6">
                  <c:v>2.6379000000000001</c:v>
                </c:pt>
                <c:pt idx="7">
                  <c:v>2.6185499999999999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90-4239-8078-9681AE2A3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EFFICIENCY - OD 538-KOMP</a:t>
            </a:r>
            <a:endParaRPr lang="en-CA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'538-KOMP NPSH'!$T$56:$W$56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75DBFF"/>
              </a:solidFill>
              <a:prstDash val="solid"/>
            </a:ln>
          </c:spPr>
          <c:marker>
            <c:symbol val="none"/>
          </c:marker>
          <c:xVal>
            <c:numRef>
              <c:f>'538-KOMP NPSH'!$T$62:$T$70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'538-KOMP NPSH'!$W$62:$W$70</c:f>
              <c:numCache>
                <c:formatCode>0.0</c:formatCode>
                <c:ptCount val="9"/>
                <c:pt idx="0">
                  <c:v>6.4466216416771456</c:v>
                </c:pt>
                <c:pt idx="1">
                  <c:v>24.156345010562664</c:v>
                </c:pt>
                <c:pt idx="2">
                  <c:v>35.999389481129448</c:v>
                </c:pt>
                <c:pt idx="3">
                  <c:v>43.849357875818711</c:v>
                </c:pt>
                <c:pt idx="4">
                  <c:v>44.769207169806322</c:v>
                </c:pt>
                <c:pt idx="5">
                  <c:v>39.61699882224579</c:v>
                </c:pt>
                <c:pt idx="6">
                  <c:v>27.774721616345978</c:v>
                </c:pt>
                <c:pt idx="7">
                  <c:v>5.7234978213612013</c:v>
                </c:pt>
                <c:pt idx="8">
                  <c:v>-31.542843710324878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5-43A0-AB3A-4D48483816F9}"/>
            </c:ext>
          </c:extLst>
        </c:ser>
        <c:ser>
          <c:idx val="1"/>
          <c:order val="1"/>
          <c:tx>
            <c:strRef>
              <c:f>'538-KOMP NPSH'!$X$57:$AB$57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'538-KOMP NPSH'!$T$66</c:f>
              <c:numCache>
                <c:formatCode>0</c:formatCode>
                <c:ptCount val="1"/>
                <c:pt idx="0">
                  <c:v>7600</c:v>
                </c:pt>
              </c:numCache>
            </c:numRef>
          </c:xVal>
          <c:yVal>
            <c:numRef>
              <c:f>'538-KOMP NPSH'!$AB$66</c:f>
              <c:numCache>
                <c:formatCode>0.0</c:formatCode>
                <c:ptCount val="1"/>
                <c:pt idx="0">
                  <c:v>55.693060246852674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25-43A0-AB3A-4D48483816F9}"/>
            </c:ext>
          </c:extLst>
        </c:ser>
        <c:ser>
          <c:idx val="2"/>
          <c:order val="2"/>
          <c:tx>
            <c:strRef>
              <c:f>'538-KOMP NPSH'!$Q$56:$S$56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'538-KOMP NPSH'!$T$66</c:f>
              <c:numCache>
                <c:formatCode>0</c:formatCode>
                <c:ptCount val="1"/>
                <c:pt idx="0">
                  <c:v>7600</c:v>
                </c:pt>
              </c:numCache>
            </c:numRef>
          </c:xVal>
          <c:yVal>
            <c:numRef>
              <c:f>'538-KOMP NPSH'!$I$3</c:f>
              <c:numCache>
                <c:formatCode>0.0</c:formatCode>
                <c:ptCount val="1"/>
                <c:pt idx="0">
                  <c:v>61.881178052058523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25-43A0-AB3A-4D48483816F9}"/>
            </c:ext>
          </c:extLst>
        </c:ser>
        <c:ser>
          <c:idx val="3"/>
          <c:order val="3"/>
          <c:tx>
            <c:strRef>
              <c:f>'538-KOMP NPSH'!$J$8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 NPSH'!$J$9:$J$10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'538-KOMP NPSH'!$M$9:$M$10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25-43A0-AB3A-4D48483816F9}"/>
            </c:ext>
          </c:extLst>
        </c:ser>
        <c:ser>
          <c:idx val="5"/>
          <c:order val="4"/>
          <c:tx>
            <c:strRef>
              <c:f>'538-KOMP NPSH'!$J$14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 NPSH'!$J$15:$J$16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'538-KOMP NPSH'!$M$15:$M$16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25-43A0-AB3A-4D48483816F9}"/>
            </c:ext>
          </c:extLst>
        </c:ser>
        <c:ser>
          <c:idx val="4"/>
          <c:order val="5"/>
          <c:tx>
            <c:strRef>
              <c:f>'538-KOMP NPSH'!$J$11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 NPSH'!$J$12:$J$13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'538-KOMP NPSH'!$M$12:$M$13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25-43A0-AB3A-4D48483816F9}"/>
            </c:ext>
          </c:extLst>
        </c:ser>
        <c:ser>
          <c:idx val="6"/>
          <c:order val="6"/>
          <c:tx>
            <c:strRef>
              <c:f>'538-KOMP NPSH'!$AA$5:$AD$5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'538-KOMP NPSH'!$AA$9:$AA$18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'538-KOMP NPSH'!$AD$9:$AD$18</c:f>
              <c:numCache>
                <c:formatCode>0.00</c:formatCode>
                <c:ptCount val="10"/>
                <c:pt idx="0">
                  <c:v>-0.18490090000000001</c:v>
                </c:pt>
                <c:pt idx="1">
                  <c:v>3.4972455945927736</c:v>
                </c:pt>
                <c:pt idx="2">
                  <c:v>7.0186568275937509</c:v>
                </c:pt>
                <c:pt idx="3">
                  <c:v>27.313049578833155</c:v>
                </c:pt>
                <c:pt idx="4">
                  <c:v>40.214058271526099</c:v>
                </c:pt>
                <c:pt idx="5">
                  <c:v>47.279371065871132</c:v>
                </c:pt>
                <c:pt idx="6">
                  <c:v>47.642276860225287</c:v>
                </c:pt>
                <c:pt idx="7">
                  <c:v>43.781119296585572</c:v>
                </c:pt>
                <c:pt idx="8">
                  <c:v>35.5406742861948</c:v>
                </c:pt>
                <c:pt idx="9">
                  <c:v>20.911399005787189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25-43A0-AB3A-4D4848381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181319882743902"/>
          <c:h val="0.326662017778910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TDH - OD 538-KOMP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'538-KOMP'!$A$5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'538-KOMP'!$A$9:$A$21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'538-KOMP'!$B$9:$B$21</c:f>
              <c:numCache>
                <c:formatCode>0.0000</c:formatCode>
                <c:ptCount val="13"/>
                <c:pt idx="0">
                  <c:v>49.358519999999999</c:v>
                </c:pt>
                <c:pt idx="1">
                  <c:v>49.228896456730176</c:v>
                </c:pt>
                <c:pt idx="2">
                  <c:v>48.950690946678115</c:v>
                </c:pt>
                <c:pt idx="3">
                  <c:v>43.716916304623318</c:v>
                </c:pt>
                <c:pt idx="4">
                  <c:v>35.650495457190601</c:v>
                </c:pt>
                <c:pt idx="5">
                  <c:v>27.929642264741499</c:v>
                </c:pt>
                <c:pt idx="6">
                  <c:v>21.539868960159218</c:v>
                </c:pt>
                <c:pt idx="7">
                  <c:v>18.378677333659461</c:v>
                </c:pt>
                <c:pt idx="8">
                  <c:v>14.368164098620092</c:v>
                </c:pt>
                <c:pt idx="9">
                  <c:v>8.5753894146402558</c:v>
                </c:pt>
                <c:pt idx="10">
                  <c:v>-0.25465336030005403</c:v>
                </c:pt>
                <c:pt idx="11">
                  <c:v>-7.5009134330281597</c:v>
                </c:pt>
                <c:pt idx="12">
                  <c:v>-16.737657513600055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8-4AB2-8E6C-AF5E1B681AA5}"/>
            </c:ext>
          </c:extLst>
        </c:ser>
        <c:ser>
          <c:idx val="1"/>
          <c:order val="1"/>
          <c:tx>
            <c:strRef>
              <c:f>'538-KOMP'!$D$6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'538-KOMP'!$A$11:$A$19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'538-KOMP'!$E$11:$E$19</c:f>
              <c:numCache>
                <c:formatCode>0.0000</c:formatCode>
                <c:ptCount val="9"/>
                <c:pt idx="0">
                  <c:v>51.43411639756718</c:v>
                </c:pt>
                <c:pt idx="1">
                  <c:v>46.387570318098369</c:v>
                </c:pt>
                <c:pt idx="2">
                  <c:v>38.42842724385185</c:v>
                </c:pt>
                <c:pt idx="3">
                  <c:v>30.550237224127059</c:v>
                </c:pt>
                <c:pt idx="4">
                  <c:v>24.000979646408229</c:v>
                </c:pt>
                <c:pt idx="5">
                  <c:v>21.010052541689102</c:v>
                </c:pt>
                <c:pt idx="6">
                  <c:v>17.552090009066962</c:v>
                </c:pt>
                <c:pt idx="7">
                  <c:v>12.926978076679543</c:v>
                </c:pt>
                <c:pt idx="8">
                  <c:v>6.1748228202275364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E8-4AB2-8E6C-AF5E1B681AA5}"/>
            </c:ext>
          </c:extLst>
        </c:ser>
        <c:ser>
          <c:idx val="2"/>
          <c:order val="2"/>
          <c:tx>
            <c:strRef>
              <c:f>'538-KOMP'!$F$6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'538-KOMP'!$A$11:$A$19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'538-KOMP'!$G$11:$G$19</c:f>
              <c:numCache>
                <c:formatCode>0.0000</c:formatCode>
                <c:ptCount val="9"/>
                <c:pt idx="0">
                  <c:v>46.469380873371669</c:v>
                </c:pt>
                <c:pt idx="1">
                  <c:v>41.081662542833939</c:v>
                </c:pt>
                <c:pt idx="2">
                  <c:v>32.97386701503558</c:v>
                </c:pt>
                <c:pt idx="3">
                  <c:v>25.466980101190575</c:v>
                </c:pt>
                <c:pt idx="4">
                  <c:v>19.174890760226887</c:v>
                </c:pt>
                <c:pt idx="5">
                  <c:v>15.715294106569154</c:v>
                </c:pt>
                <c:pt idx="6">
                  <c:v>10.917682136938158</c:v>
                </c:pt>
                <c:pt idx="7">
                  <c:v>3.5752727024574673</c:v>
                </c:pt>
                <c:pt idx="8">
                  <c:v>-7.9117632791718115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E8-4AB2-8E6C-AF5E1B681AA5}"/>
            </c:ext>
          </c:extLst>
        </c:ser>
        <c:ser>
          <c:idx val="3"/>
          <c:order val="3"/>
          <c:tx>
            <c:strRef>
              <c:f>'538-KOMP'!$T$56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'538-KOMP'!$T$60:$T$72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'538-KOMP'!$U$60:$U$72</c:f>
              <c:numCache>
                <c:formatCode>0.0000</c:formatCode>
                <c:ptCount val="13"/>
                <c:pt idx="0">
                  <c:v>51.682510000000001</c:v>
                </c:pt>
                <c:pt idx="1">
                  <c:v>50.23598199010938</c:v>
                </c:pt>
                <c:pt idx="2">
                  <c:v>48.802616615499993</c:v>
                </c:pt>
                <c:pt idx="3">
                  <c:v>39.515027310329032</c:v>
                </c:pt>
                <c:pt idx="4">
                  <c:v>32.493541161921172</c:v>
                </c:pt>
                <c:pt idx="5">
                  <c:v>27.207603683536085</c:v>
                </c:pt>
                <c:pt idx="6">
                  <c:v>21.189105794252796</c:v>
                </c:pt>
                <c:pt idx="7">
                  <c:v>16.832429630031172</c:v>
                </c:pt>
                <c:pt idx="8">
                  <c:v>10.684853920232797</c:v>
                </c:pt>
                <c:pt idx="9">
                  <c:v>2.003347736671671</c:v>
                </c:pt>
                <c:pt idx="10">
                  <c:v>-10.057010942000005</c:v>
                </c:pt>
                <c:pt idx="11">
                  <c:v>-19.107046607000029</c:v>
                </c:pt>
                <c:pt idx="12">
                  <c:v>-29.861116112000019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E8-4AB2-8E6C-AF5E1B681AA5}"/>
            </c:ext>
          </c:extLst>
        </c:ser>
        <c:ser>
          <c:idx val="4"/>
          <c:order val="4"/>
          <c:tx>
            <c:strRef>
              <c:f>'538-KOMP'!$H$56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'538-KOMP'!$I$60:$I$67</c:f>
              <c:numCache>
                <c:formatCode>0.00</c:formatCode>
                <c:ptCount val="8"/>
                <c:pt idx="0">
                  <c:v>33.880000000000003</c:v>
                </c:pt>
                <c:pt idx="1">
                  <c:v>5191.1400000000003</c:v>
                </c:pt>
                <c:pt idx="2">
                  <c:v>5954.76</c:v>
                </c:pt>
                <c:pt idx="3">
                  <c:v>6683.95</c:v>
                </c:pt>
                <c:pt idx="4">
                  <c:v>7382.47</c:v>
                </c:pt>
                <c:pt idx="5">
                  <c:v>8073.71</c:v>
                </c:pt>
                <c:pt idx="6">
                  <c:v>8809.01</c:v>
                </c:pt>
                <c:pt idx="7">
                  <c:v>10093.31</c:v>
                </c:pt>
              </c:numCache>
            </c:numRef>
          </c:xVal>
          <c:yVal>
            <c:numRef>
              <c:f>'538-KOMP'!$L$60:$L$67</c:f>
              <c:numCache>
                <c:formatCode>0.00</c:formatCode>
                <c:ptCount val="8"/>
                <c:pt idx="0">
                  <c:v>51.488</c:v>
                </c:pt>
                <c:pt idx="1">
                  <c:v>28.8565</c:v>
                </c:pt>
                <c:pt idx="2">
                  <c:v>26.911999999999999</c:v>
                </c:pt>
                <c:pt idx="3">
                  <c:v>25.1645</c:v>
                </c:pt>
                <c:pt idx="4">
                  <c:v>21.690999999999999</c:v>
                </c:pt>
                <c:pt idx="5">
                  <c:v>18.4025</c:v>
                </c:pt>
                <c:pt idx="6">
                  <c:v>15.054499999999999</c:v>
                </c:pt>
                <c:pt idx="7">
                  <c:v>2.585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E8-4AB2-8E6C-AF5E1B681AA5}"/>
            </c:ext>
          </c:extLst>
        </c:ser>
        <c:ser>
          <c:idx val="5"/>
          <c:order val="5"/>
          <c:tx>
            <c:strRef>
              <c:f>'538-KOMP'!$J$8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'538-KOMP'!$K$9:$K$10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E8-4AB2-8E6C-AF5E1B681AA5}"/>
            </c:ext>
          </c:extLst>
        </c:ser>
        <c:ser>
          <c:idx val="6"/>
          <c:order val="6"/>
          <c:tx>
            <c:strRef>
              <c:f>'538-KOMP'!$J$11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'538-KOMP'!$K$12:$K$13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E8-4AB2-8E6C-AF5E1B681AA5}"/>
            </c:ext>
          </c:extLst>
        </c:ser>
        <c:ser>
          <c:idx val="7"/>
          <c:order val="7"/>
          <c:tx>
            <c:strRef>
              <c:f>'538-KOMP'!$J$14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'538-KOMP'!$K$15:$K$16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E8-4AB2-8E6C-AF5E1B681AA5}"/>
            </c:ext>
          </c:extLst>
        </c:ser>
        <c:ser>
          <c:idx val="8"/>
          <c:order val="8"/>
          <c:tx>
            <c:strRef>
              <c:f>'538-KOMP'!$AA$5:$AD$5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'538-KOMP'!$AA$9:$AA$18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'538-KOMP'!$AB$9:$AB$18</c:f>
              <c:numCache>
                <c:formatCode>0.0000</c:formatCode>
                <c:ptCount val="10"/>
                <c:pt idx="0">
                  <c:v>49.358519999999999</c:v>
                </c:pt>
                <c:pt idx="1">
                  <c:v>49.228896456730176</c:v>
                </c:pt>
                <c:pt idx="2">
                  <c:v>48.950690946678115</c:v>
                </c:pt>
                <c:pt idx="3">
                  <c:v>43.716916304623318</c:v>
                </c:pt>
                <c:pt idx="4">
                  <c:v>35.650495457190601</c:v>
                </c:pt>
                <c:pt idx="5">
                  <c:v>27.929642264741499</c:v>
                </c:pt>
                <c:pt idx="6">
                  <c:v>21.539868960159218</c:v>
                </c:pt>
                <c:pt idx="7">
                  <c:v>18.378677333659461</c:v>
                </c:pt>
                <c:pt idx="8">
                  <c:v>14.368164098620092</c:v>
                </c:pt>
                <c:pt idx="9">
                  <c:v>8.5753894146402558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EE8-4AB2-8E6C-AF5E1B681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  <c:max val="1200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8.5043999923173158E-2"/>
          <c:w val="0.29811987307556703"/>
          <c:h val="0.81961322984669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BRAKE POWER - OD 538-KOMP</a:t>
            </a:r>
          </a:p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'538-KOMP'!$A$5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'538-KOMP'!$A$9:$A$21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'538-KOMP'!$C$9:$C$21</c:f>
              <c:numCache>
                <c:formatCode>0.0000</c:formatCode>
                <c:ptCount val="13"/>
                <c:pt idx="0">
                  <c:v>2.8245</c:v>
                </c:pt>
                <c:pt idx="1">
                  <c:v>2.767020703856836</c:v>
                </c:pt>
                <c:pt idx="2">
                  <c:v>2.7212485692937505</c:v>
                </c:pt>
                <c:pt idx="3">
                  <c:v>2.5884125314547242</c:v>
                </c:pt>
                <c:pt idx="4">
                  <c:v>2.5398848447232392</c:v>
                </c:pt>
                <c:pt idx="5">
                  <c:v>2.4580554235397249</c:v>
                </c:pt>
                <c:pt idx="6">
                  <c:v>2.3771875742807049</c:v>
                </c:pt>
                <c:pt idx="7">
                  <c:v>2.3464532565127567</c:v>
                </c:pt>
                <c:pt idx="8">
                  <c:v>2.308011977164421</c:v>
                </c:pt>
                <c:pt idx="9">
                  <c:v>2.2339832894354554</c:v>
                </c:pt>
                <c:pt idx="10">
                  <c:v>2.0764822614000007</c:v>
                </c:pt>
                <c:pt idx="11">
                  <c:v>1.9168084970062509</c:v>
                </c:pt>
                <c:pt idx="12">
                  <c:v>1.6844520287999956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A7-4DA8-9DB9-67C5E03292D2}"/>
            </c:ext>
          </c:extLst>
        </c:ser>
        <c:ser>
          <c:idx val="0"/>
          <c:order val="1"/>
          <c:tx>
            <c:strRef>
              <c:f>'538-KOMP'!$H$7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'538-KOMP'!$A$11:$A$19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'538-KOMP'!$H$11:$H$19</c:f>
              <c:numCache>
                <c:formatCode>0.0000</c:formatCode>
                <c:ptCount val="9"/>
                <c:pt idx="0">
                  <c:v>2.5035486837502505</c:v>
                </c:pt>
                <c:pt idx="1">
                  <c:v>2.3813395289383466</c:v>
                </c:pt>
                <c:pt idx="2">
                  <c:v>2.33669405714538</c:v>
                </c:pt>
                <c:pt idx="3">
                  <c:v>2.2614109896565471</c:v>
                </c:pt>
                <c:pt idx="4">
                  <c:v>2.1870125683382486</c:v>
                </c:pt>
                <c:pt idx="5">
                  <c:v>2.1587369959917364</c:v>
                </c:pt>
                <c:pt idx="6">
                  <c:v>2.1233710189912673</c:v>
                </c:pt>
                <c:pt idx="7">
                  <c:v>2.0552646262806191</c:v>
                </c:pt>
                <c:pt idx="8">
                  <c:v>1.9103636804880006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A7-4DA8-9DB9-67C5E03292D2}"/>
            </c:ext>
          </c:extLst>
        </c:ser>
        <c:ser>
          <c:idx val="2"/>
          <c:order val="2"/>
          <c:tx>
            <c:strRef>
              <c:f>'538-KOMP'!$I$7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'538-KOMP'!$A$11:$A$19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'538-KOMP'!$I$11:$I$19</c:f>
              <c:numCache>
                <c:formatCode>0.0000</c:formatCode>
                <c:ptCount val="9"/>
                <c:pt idx="0">
                  <c:v>2.9389484548372509</c:v>
                </c:pt>
                <c:pt idx="1">
                  <c:v>2.7954855339711022</c:v>
                </c:pt>
                <c:pt idx="2">
                  <c:v>2.7430756323010983</c:v>
                </c:pt>
                <c:pt idx="3">
                  <c:v>2.6546998574229033</c:v>
                </c:pt>
                <c:pt idx="4">
                  <c:v>2.5673625802231617</c:v>
                </c:pt>
                <c:pt idx="5">
                  <c:v>2.5341695170337775</c:v>
                </c:pt>
                <c:pt idx="6">
                  <c:v>2.4926529353375746</c:v>
                </c:pt>
                <c:pt idx="7">
                  <c:v>2.4127019525902922</c:v>
                </c:pt>
                <c:pt idx="8">
                  <c:v>2.242600842312001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A7-4DA8-9DB9-67C5E03292D2}"/>
            </c:ext>
          </c:extLst>
        </c:ser>
        <c:ser>
          <c:idx val="3"/>
          <c:order val="3"/>
          <c:tx>
            <c:strRef>
              <c:f>'538-KOMP'!$T$56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'538-KOMP'!$T$60:$T$72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'538-KOMP'!$V$60:$V$72</c:f>
              <c:numCache>
                <c:formatCode>0.0000</c:formatCode>
                <c:ptCount val="13"/>
                <c:pt idx="0">
                  <c:v>2.7954810000000001</c:v>
                </c:pt>
                <c:pt idx="1">
                  <c:v>2.7919714515974219</c:v>
                </c:pt>
                <c:pt idx="2">
                  <c:v>2.7875299271837504</c:v>
                </c:pt>
                <c:pt idx="3">
                  <c:v>2.7406341939450769</c:v>
                </c:pt>
                <c:pt idx="4">
                  <c:v>2.692126973861936</c:v>
                </c:pt>
                <c:pt idx="5">
                  <c:v>2.6617152500606882</c:v>
                </c:pt>
                <c:pt idx="6">
                  <c:v>2.6490211545917441</c:v>
                </c:pt>
                <c:pt idx="7">
                  <c:v>2.6439945292434359</c:v>
                </c:pt>
                <c:pt idx="8">
                  <c:v>2.6347561755290942</c:v>
                </c:pt>
                <c:pt idx="9">
                  <c:v>2.6163718534565761</c:v>
                </c:pt>
                <c:pt idx="10">
                  <c:v>2.5828511115400001</c:v>
                </c:pt>
                <c:pt idx="11">
                  <c:v>2.5532663080337494</c:v>
                </c:pt>
                <c:pt idx="12">
                  <c:v>2.5144206038400005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A7-4DA8-9DB9-67C5E03292D2}"/>
            </c:ext>
          </c:extLst>
        </c:ser>
        <c:ser>
          <c:idx val="4"/>
          <c:order val="4"/>
          <c:tx>
            <c:strRef>
              <c:f>'538-KOMP'!$H$56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'538-KOMP'!$I$60:$I$67</c:f>
              <c:numCache>
                <c:formatCode>0.00</c:formatCode>
                <c:ptCount val="8"/>
                <c:pt idx="0">
                  <c:v>33.880000000000003</c:v>
                </c:pt>
                <c:pt idx="1">
                  <c:v>5191.1400000000003</c:v>
                </c:pt>
                <c:pt idx="2">
                  <c:v>5954.76</c:v>
                </c:pt>
                <c:pt idx="3">
                  <c:v>6683.95</c:v>
                </c:pt>
                <c:pt idx="4">
                  <c:v>7382.47</c:v>
                </c:pt>
                <c:pt idx="5">
                  <c:v>8073.71</c:v>
                </c:pt>
                <c:pt idx="6">
                  <c:v>8809.01</c:v>
                </c:pt>
                <c:pt idx="7">
                  <c:v>10093.31</c:v>
                </c:pt>
              </c:numCache>
            </c:numRef>
          </c:xVal>
          <c:yVal>
            <c:numRef>
              <c:f>'538-KOMP'!$O$60:$O$67</c:f>
              <c:numCache>
                <c:formatCode>0.00</c:formatCode>
                <c:ptCount val="8"/>
                <c:pt idx="0">
                  <c:v>2.7950500000000003</c:v>
                </c:pt>
                <c:pt idx="1">
                  <c:v>2.6717</c:v>
                </c:pt>
                <c:pt idx="2">
                  <c:v>2.6578499999999998</c:v>
                </c:pt>
                <c:pt idx="3">
                  <c:v>2.6524000000000001</c:v>
                </c:pt>
                <c:pt idx="4">
                  <c:v>2.6531500000000001</c:v>
                </c:pt>
                <c:pt idx="5">
                  <c:v>2.6484999999999999</c:v>
                </c:pt>
                <c:pt idx="6">
                  <c:v>2.6379000000000001</c:v>
                </c:pt>
                <c:pt idx="7">
                  <c:v>2.6185499999999999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A7-4DA8-9DB9-67C5E03292D2}"/>
            </c:ext>
          </c:extLst>
        </c:ser>
        <c:ser>
          <c:idx val="5"/>
          <c:order val="5"/>
          <c:tx>
            <c:strRef>
              <c:f>'538-KOMP'!$J$8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'538-KOMP'!$L$9:$L$10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A7-4DA8-9DB9-67C5E03292D2}"/>
            </c:ext>
          </c:extLst>
        </c:ser>
        <c:ser>
          <c:idx val="6"/>
          <c:order val="6"/>
          <c:tx>
            <c:strRef>
              <c:f>'538-KOMP'!$J$11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'538-KOMP'!$L$12:$L$13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EA7-4DA8-9DB9-67C5E03292D2}"/>
            </c:ext>
          </c:extLst>
        </c:ser>
        <c:ser>
          <c:idx val="7"/>
          <c:order val="7"/>
          <c:tx>
            <c:strRef>
              <c:f>'538-KOMP'!$J$14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'538-KOMP'!$L$15:$L$16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EA7-4DA8-9DB9-67C5E03292D2}"/>
            </c:ext>
          </c:extLst>
        </c:ser>
        <c:ser>
          <c:idx val="8"/>
          <c:order val="8"/>
          <c:tx>
            <c:strRef>
              <c:f>'538-KOMP'!$AA$5:$AD$5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'538-KOMP'!$AA$9:$AA$18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'538-KOMP'!$AC$9:$AC$18</c:f>
              <c:numCache>
                <c:formatCode>0.0000</c:formatCode>
                <c:ptCount val="10"/>
                <c:pt idx="0">
                  <c:v>2.4825529999999998</c:v>
                </c:pt>
                <c:pt idx="1">
                  <c:v>2.5067409084975587</c:v>
                </c:pt>
                <c:pt idx="2">
                  <c:v>2.5300595685468745</c:v>
                </c:pt>
                <c:pt idx="3">
                  <c:v>2.6151728210666851</c:v>
                </c:pt>
                <c:pt idx="4">
                  <c:v>2.5367638003642363</c:v>
                </c:pt>
                <c:pt idx="5">
                  <c:v>2.422155956785792</c:v>
                </c:pt>
                <c:pt idx="6">
                  <c:v>2.4225584601600008</c:v>
                </c:pt>
                <c:pt idx="7">
                  <c:v>2.4646932915920923</c:v>
                </c:pt>
                <c:pt idx="8">
                  <c:v>2.4970357736174744</c:v>
                </c:pt>
                <c:pt idx="9">
                  <c:v>2.4598472573909049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EA7-4DA8-9DB9-67C5E0329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  <c:max val="12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3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23302905047986966"/>
          <c:w val="0.22394875549398618"/>
          <c:h val="0.61526112184405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test TDH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4.15555026619705E-2"/>
                  <c:y val="-0.50584721846167824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"A" 26.2mm'!$I$60:$I$72</c:f>
              <c:numCache>
                <c:formatCode>0.00</c:formatCode>
                <c:ptCount val="13"/>
                <c:pt idx="0">
                  <c:v>39.659999999999997</c:v>
                </c:pt>
                <c:pt idx="1">
                  <c:v>392.94</c:v>
                </c:pt>
                <c:pt idx="2">
                  <c:v>767.93</c:v>
                </c:pt>
                <c:pt idx="3">
                  <c:v>917.17</c:v>
                </c:pt>
                <c:pt idx="4">
                  <c:v>1072.0999999999999</c:v>
                </c:pt>
                <c:pt idx="5">
                  <c:v>1233.99</c:v>
                </c:pt>
                <c:pt idx="6">
                  <c:v>1364.87</c:v>
                </c:pt>
                <c:pt idx="7">
                  <c:v>1500.46</c:v>
                </c:pt>
                <c:pt idx="8">
                  <c:v>1649.37</c:v>
                </c:pt>
                <c:pt idx="9">
                  <c:v>1768.73</c:v>
                </c:pt>
                <c:pt idx="10">
                  <c:v>2010.44</c:v>
                </c:pt>
              </c:numCache>
            </c:numRef>
          </c:xVal>
          <c:yVal>
            <c:numRef>
              <c:f>'RC12 "A" 26.2mm'!$L$60:$L$72</c:f>
              <c:numCache>
                <c:formatCode>0.00</c:formatCode>
                <c:ptCount val="13"/>
                <c:pt idx="0">
                  <c:v>33.56</c:v>
                </c:pt>
                <c:pt idx="1">
                  <c:v>34.31</c:v>
                </c:pt>
                <c:pt idx="2">
                  <c:v>33.9</c:v>
                </c:pt>
                <c:pt idx="3">
                  <c:v>33.450000000000003</c:v>
                </c:pt>
                <c:pt idx="4">
                  <c:v>32.1</c:v>
                </c:pt>
                <c:pt idx="5">
                  <c:v>28.29</c:v>
                </c:pt>
                <c:pt idx="6">
                  <c:v>24.83</c:v>
                </c:pt>
                <c:pt idx="7">
                  <c:v>20.149999999999999</c:v>
                </c:pt>
                <c:pt idx="8">
                  <c:v>14.28</c:v>
                </c:pt>
                <c:pt idx="9">
                  <c:v>9.86</c:v>
                </c:pt>
                <c:pt idx="10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67-400D-A931-D6B78A8EE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TDH test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4"/>
            <c:dispRSqr val="0"/>
            <c:dispEq val="1"/>
            <c:trendlineLbl>
              <c:layout>
                <c:manualLayout>
                  <c:x val="4.15555026619705E-2"/>
                  <c:y val="-0.50584721846167824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'538-KOMP'!$I$60:$I$72</c:f>
              <c:numCache>
                <c:formatCode>0.00</c:formatCode>
                <c:ptCount val="13"/>
                <c:pt idx="0">
                  <c:v>33.880000000000003</c:v>
                </c:pt>
                <c:pt idx="1">
                  <c:v>5191.1400000000003</c:v>
                </c:pt>
                <c:pt idx="2">
                  <c:v>5954.76</c:v>
                </c:pt>
                <c:pt idx="3">
                  <c:v>6683.95</c:v>
                </c:pt>
                <c:pt idx="4">
                  <c:v>7382.47</c:v>
                </c:pt>
                <c:pt idx="5">
                  <c:v>8073.71</c:v>
                </c:pt>
                <c:pt idx="6">
                  <c:v>8809.01</c:v>
                </c:pt>
                <c:pt idx="7">
                  <c:v>10093.31</c:v>
                </c:pt>
              </c:numCache>
            </c:numRef>
          </c:xVal>
          <c:yVal>
            <c:numRef>
              <c:f>'538-KOMP'!$L$60:$L$72</c:f>
              <c:numCache>
                <c:formatCode>0.00</c:formatCode>
                <c:ptCount val="13"/>
                <c:pt idx="0">
                  <c:v>51.488</c:v>
                </c:pt>
                <c:pt idx="1">
                  <c:v>28.8565</c:v>
                </c:pt>
                <c:pt idx="2">
                  <c:v>26.911999999999999</c:v>
                </c:pt>
                <c:pt idx="3">
                  <c:v>25.1645</c:v>
                </c:pt>
                <c:pt idx="4">
                  <c:v>21.690999999999999</c:v>
                </c:pt>
                <c:pt idx="5">
                  <c:v>18.4025</c:v>
                </c:pt>
                <c:pt idx="6">
                  <c:v>15.054499999999999</c:v>
                </c:pt>
                <c:pt idx="7">
                  <c:v>2.585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57-4E8D-94D9-A4DDF4A6D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4"/>
            <c:dispRSqr val="0"/>
            <c:dispEq val="1"/>
            <c:trendlineLbl>
              <c:layout>
                <c:manualLayout>
                  <c:x val="8.3998850407551284E-2"/>
                  <c:y val="-0.49702826241366027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'538-KOMP'!$I$60:$I$72</c:f>
              <c:numCache>
                <c:formatCode>0.00</c:formatCode>
                <c:ptCount val="13"/>
                <c:pt idx="0">
                  <c:v>33.880000000000003</c:v>
                </c:pt>
                <c:pt idx="1">
                  <c:v>5191.1400000000003</c:v>
                </c:pt>
                <c:pt idx="2">
                  <c:v>5954.76</c:v>
                </c:pt>
                <c:pt idx="3">
                  <c:v>6683.95</c:v>
                </c:pt>
                <c:pt idx="4">
                  <c:v>7382.47</c:v>
                </c:pt>
                <c:pt idx="5">
                  <c:v>8073.71</c:v>
                </c:pt>
                <c:pt idx="6">
                  <c:v>8809.01</c:v>
                </c:pt>
                <c:pt idx="7">
                  <c:v>10093.31</c:v>
                </c:pt>
              </c:numCache>
            </c:numRef>
          </c:xVal>
          <c:yVal>
            <c:numRef>
              <c:f>'538-KOMP'!$O$60:$O$72</c:f>
              <c:numCache>
                <c:formatCode>0.00</c:formatCode>
                <c:ptCount val="13"/>
                <c:pt idx="0">
                  <c:v>2.7950500000000003</c:v>
                </c:pt>
                <c:pt idx="1">
                  <c:v>2.6717</c:v>
                </c:pt>
                <c:pt idx="2">
                  <c:v>2.6578499999999998</c:v>
                </c:pt>
                <c:pt idx="3">
                  <c:v>2.6524000000000001</c:v>
                </c:pt>
                <c:pt idx="4">
                  <c:v>2.6531500000000001</c:v>
                </c:pt>
                <c:pt idx="5">
                  <c:v>2.6484999999999999</c:v>
                </c:pt>
                <c:pt idx="6">
                  <c:v>2.6379000000000001</c:v>
                </c:pt>
                <c:pt idx="7">
                  <c:v>2.6185499999999999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55-48E9-9AC6-A28CF9B5C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EFFICIENCY - OD 538-KOMP</a:t>
            </a:r>
            <a:endParaRPr lang="en-CA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'538-KOMP'!$T$56:$W$56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75DBFF"/>
              </a:solidFill>
              <a:prstDash val="solid"/>
            </a:ln>
          </c:spPr>
          <c:marker>
            <c:symbol val="none"/>
          </c:marker>
          <c:xVal>
            <c:numRef>
              <c:f>'538-KOMP'!$T$62:$T$70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'538-KOMP'!$W$62:$W$70</c:f>
              <c:numCache>
                <c:formatCode>0.0</c:formatCode>
                <c:ptCount val="9"/>
                <c:pt idx="0">
                  <c:v>6.4466216416771456</c:v>
                </c:pt>
                <c:pt idx="1">
                  <c:v>24.156345010562664</c:v>
                </c:pt>
                <c:pt idx="2">
                  <c:v>35.999389481129448</c:v>
                </c:pt>
                <c:pt idx="3">
                  <c:v>43.849357875818711</c:v>
                </c:pt>
                <c:pt idx="4">
                  <c:v>44.769207169806322</c:v>
                </c:pt>
                <c:pt idx="5">
                  <c:v>39.61699882224579</c:v>
                </c:pt>
                <c:pt idx="6">
                  <c:v>27.774721616345978</c:v>
                </c:pt>
                <c:pt idx="7">
                  <c:v>5.7234978213612013</c:v>
                </c:pt>
                <c:pt idx="8">
                  <c:v>-31.542843710324878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9-4C6B-A109-1BDEAD5D22A6}"/>
            </c:ext>
          </c:extLst>
        </c:ser>
        <c:ser>
          <c:idx val="1"/>
          <c:order val="1"/>
          <c:tx>
            <c:strRef>
              <c:f>'538-KOMP'!$X$57:$AB$57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'538-KOMP'!$T$66</c:f>
              <c:numCache>
                <c:formatCode>0</c:formatCode>
                <c:ptCount val="1"/>
                <c:pt idx="0">
                  <c:v>7600</c:v>
                </c:pt>
              </c:numCache>
            </c:numRef>
          </c:xVal>
          <c:yVal>
            <c:numRef>
              <c:f>'538-KOMP'!$AB$66</c:f>
              <c:numCache>
                <c:formatCode>0.0</c:formatCode>
                <c:ptCount val="1"/>
                <c:pt idx="0">
                  <c:v>45.648204548900203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9-4C6B-A109-1BDEAD5D22A6}"/>
            </c:ext>
          </c:extLst>
        </c:ser>
        <c:ser>
          <c:idx val="2"/>
          <c:order val="2"/>
          <c:tx>
            <c:strRef>
              <c:f>'538-KOMP'!$Q$56:$S$56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'538-KOMP'!$T$66</c:f>
              <c:numCache>
                <c:formatCode>0</c:formatCode>
                <c:ptCount val="1"/>
                <c:pt idx="0">
                  <c:v>7600</c:v>
                </c:pt>
              </c:numCache>
            </c:numRef>
          </c:xVal>
          <c:yVal>
            <c:numRef>
              <c:f>'538-KOMP'!$I$3</c:f>
              <c:numCache>
                <c:formatCode>0.0</c:formatCode>
                <c:ptCount val="1"/>
                <c:pt idx="0">
                  <c:v>50.720227276555782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C9-4C6B-A109-1BDEAD5D22A6}"/>
            </c:ext>
          </c:extLst>
        </c:ser>
        <c:ser>
          <c:idx val="3"/>
          <c:order val="3"/>
          <c:tx>
            <c:strRef>
              <c:f>'538-KOMP'!$J$8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'538-KOMP'!$M$9:$M$10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C9-4C6B-A109-1BDEAD5D22A6}"/>
            </c:ext>
          </c:extLst>
        </c:ser>
        <c:ser>
          <c:idx val="5"/>
          <c:order val="4"/>
          <c:tx>
            <c:strRef>
              <c:f>'538-KOMP'!$J$14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'538-KOMP'!$M$15:$M$16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C9-4C6B-A109-1BDEAD5D22A6}"/>
            </c:ext>
          </c:extLst>
        </c:ser>
        <c:ser>
          <c:idx val="4"/>
          <c:order val="5"/>
          <c:tx>
            <c:strRef>
              <c:f>'538-KOMP'!$J$11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'538-KOMP'!$M$12:$M$13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C9-4C6B-A109-1BDEAD5D22A6}"/>
            </c:ext>
          </c:extLst>
        </c:ser>
        <c:ser>
          <c:idx val="6"/>
          <c:order val="6"/>
          <c:tx>
            <c:strRef>
              <c:f>'538-KOMP'!$AA$5:$AD$5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'538-KOMP'!$AA$9:$AA$18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'538-KOMP'!$AD$9:$AD$18</c:f>
              <c:numCache>
                <c:formatCode>0.00</c:formatCode>
                <c:ptCount val="10"/>
                <c:pt idx="0">
                  <c:v>-0.18490090000000001</c:v>
                </c:pt>
                <c:pt idx="1">
                  <c:v>3.4972455945927736</c:v>
                </c:pt>
                <c:pt idx="2">
                  <c:v>7.0186568275937509</c:v>
                </c:pt>
                <c:pt idx="3">
                  <c:v>27.313049578833155</c:v>
                </c:pt>
                <c:pt idx="4">
                  <c:v>40.214058271526099</c:v>
                </c:pt>
                <c:pt idx="5">
                  <c:v>47.279371065871132</c:v>
                </c:pt>
                <c:pt idx="6">
                  <c:v>47.642276860225287</c:v>
                </c:pt>
                <c:pt idx="7">
                  <c:v>43.781119296585572</c:v>
                </c:pt>
                <c:pt idx="8">
                  <c:v>35.5406742861948</c:v>
                </c:pt>
                <c:pt idx="9">
                  <c:v>20.911399005787189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AC9-4C6B-A109-1BDEAD5D2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181319882743902"/>
          <c:h val="0.326662017778910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TDH - OD 538-4000R-F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'538-4000R-F'!$A$5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'538-4000R-F'!$A$9:$A$21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'538-4000R-F'!$B$9:$B$21</c:f>
              <c:numCache>
                <c:formatCode>0.0000</c:formatCode>
                <c:ptCount val="13"/>
                <c:pt idx="0">
                  <c:v>54.3</c:v>
                </c:pt>
                <c:pt idx="1">
                  <c:v>53.22123634755566</c:v>
                </c:pt>
                <c:pt idx="2">
                  <c:v>52.245569806781255</c:v>
                </c:pt>
                <c:pt idx="3">
                  <c:v>46.598216124680064</c:v>
                </c:pt>
                <c:pt idx="4">
                  <c:v>40.537465397409534</c:v>
                </c:pt>
                <c:pt idx="5">
                  <c:v>33.399631371634094</c:v>
                </c:pt>
                <c:pt idx="6">
                  <c:v>26.279702160517104</c:v>
                </c:pt>
                <c:pt idx="7">
                  <c:v>23.055908562691634</c:v>
                </c:pt>
                <c:pt idx="8">
                  <c:v>19.756738027207419</c:v>
                </c:pt>
                <c:pt idx="9">
                  <c:v>15.946139712867335</c:v>
                </c:pt>
                <c:pt idx="10">
                  <c:v>10.878983427000009</c:v>
                </c:pt>
                <c:pt idx="11">
                  <c:v>6.8777239709687876</c:v>
                </c:pt>
                <c:pt idx="12">
                  <c:v>1.7660538239999255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A-4F74-ADFB-FB33093404A5}"/>
            </c:ext>
          </c:extLst>
        </c:ser>
        <c:ser>
          <c:idx val="1"/>
          <c:order val="1"/>
          <c:tx>
            <c:strRef>
              <c:f>'538-4000R-F'!$D$6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'538-4000R-F'!$A$11:$A$19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'538-4000R-F'!$E$11:$E$19</c:f>
              <c:numCache>
                <c:formatCode>0.0000</c:formatCode>
                <c:ptCount val="9"/>
                <c:pt idx="0">
                  <c:v>54.956140493918511</c:v>
                </c:pt>
                <c:pt idx="1">
                  <c:v>49.294480775551101</c:v>
                </c:pt>
                <c:pt idx="2">
                  <c:v>43.360902274433364</c:v>
                </c:pt>
                <c:pt idx="3">
                  <c:v>36.332462867010086</c:v>
                </c:pt>
                <c:pt idx="4">
                  <c:v>29.142190385995498</c:v>
                </c:pt>
                <c:pt idx="5">
                  <c:v>25.883351678633328</c:v>
                </c:pt>
                <c:pt idx="6">
                  <c:v>22.670211021019703</c:v>
                </c:pt>
                <c:pt idx="7">
                  <c:v>19.232937014906632</c:v>
                </c:pt>
                <c:pt idx="8">
                  <c:v>15.06778191805973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7A-4F74-ADFB-FB33093404A5}"/>
            </c:ext>
          </c:extLst>
        </c:ser>
        <c:ser>
          <c:idx val="2"/>
          <c:order val="2"/>
          <c:tx>
            <c:strRef>
              <c:f>'538-4000R-F'!$F$6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'538-4000R-F'!$A$11:$A$19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'538-4000R-F'!$G$11:$G$19</c:f>
              <c:numCache>
                <c:formatCode>0.0000</c:formatCode>
                <c:ptCount val="9"/>
                <c:pt idx="0">
                  <c:v>49.545116731677162</c:v>
                </c:pt>
                <c:pt idx="1">
                  <c:v>43.933824081786462</c:v>
                </c:pt>
                <c:pt idx="2">
                  <c:v>37.774785601973889</c:v>
                </c:pt>
                <c:pt idx="3">
                  <c:v>30.589236341325019</c:v>
                </c:pt>
                <c:pt idx="4">
                  <c:v>23.589097694949103</c:v>
                </c:pt>
                <c:pt idx="5">
                  <c:v>20.373858005058374</c:v>
                </c:pt>
                <c:pt idx="6">
                  <c:v>16.886386393688504</c:v>
                </c:pt>
                <c:pt idx="7">
                  <c:v>12.477690658235751</c:v>
                </c:pt>
                <c:pt idx="8">
                  <c:v>6.100804721708883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7A-4F74-ADFB-FB33093404A5}"/>
            </c:ext>
          </c:extLst>
        </c:ser>
        <c:ser>
          <c:idx val="3"/>
          <c:order val="3"/>
          <c:tx>
            <c:strRef>
              <c:f>'538-4000R-F'!$T$56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'538-4000R-F'!$T$60:$T$72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'538-4000R-F'!$U$60:$U$72</c:f>
              <c:numCache>
                <c:formatCode>0.0000</c:formatCode>
                <c:ptCount val="13"/>
                <c:pt idx="0">
                  <c:v>52.88711</c:v>
                </c:pt>
                <c:pt idx="1">
                  <c:v>52.208416570312501</c:v>
                </c:pt>
                <c:pt idx="2">
                  <c:v>51.5379056875</c:v>
                </c:pt>
                <c:pt idx="3">
                  <c:v>45.740247900492186</c:v>
                </c:pt>
                <c:pt idx="4">
                  <c:v>34.398938534562497</c:v>
                </c:pt>
                <c:pt idx="5">
                  <c:v>12.293168979226564</c:v>
                </c:pt>
                <c:pt idx="6">
                  <c:v>-25.797869376000008</c:v>
                </c:pt>
                <c:pt idx="7">
                  <c:v>-51.226513778937502</c:v>
                </c:pt>
                <c:pt idx="8">
                  <c:v>-82.091450084500011</c:v>
                </c:pt>
                <c:pt idx="9">
                  <c:v>-118.96600144181249</c:v>
                </c:pt>
                <c:pt idx="10">
                  <c:v>-162.42349100000001</c:v>
                </c:pt>
                <c:pt idx="11">
                  <c:v>-191.29285143750002</c:v>
                </c:pt>
                <c:pt idx="12">
                  <c:v>-222.755122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7A-4F74-ADFB-FB33093404A5}"/>
            </c:ext>
          </c:extLst>
        </c:ser>
        <c:ser>
          <c:idx val="4"/>
          <c:order val="4"/>
          <c:tx>
            <c:strRef>
              <c:f>'538-4000R-F'!$H$56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'538-4000R-F'!$I$60:$I$67</c:f>
              <c:numCache>
                <c:formatCode>0.00</c:formatCode>
                <c:ptCount val="8"/>
                <c:pt idx="0">
                  <c:v>55.65</c:v>
                </c:pt>
                <c:pt idx="1">
                  <c:v>3096.25</c:v>
                </c:pt>
                <c:pt idx="2">
                  <c:v>3608.72</c:v>
                </c:pt>
                <c:pt idx="3">
                  <c:v>4031.4</c:v>
                </c:pt>
                <c:pt idx="4">
                  <c:v>4464.0600000000004</c:v>
                </c:pt>
                <c:pt idx="5">
                  <c:v>4882.62</c:v>
                </c:pt>
                <c:pt idx="6">
                  <c:v>5390.55</c:v>
                </c:pt>
                <c:pt idx="7">
                  <c:v>6456.45</c:v>
                </c:pt>
              </c:numCache>
            </c:numRef>
          </c:xVal>
          <c:yVal>
            <c:numRef>
              <c:f>'538-4000R-F'!$L$60:$L$67</c:f>
              <c:numCache>
                <c:formatCode>0.00</c:formatCode>
                <c:ptCount val="8"/>
                <c:pt idx="0">
                  <c:v>52.711184210526319</c:v>
                </c:pt>
                <c:pt idx="1">
                  <c:v>42.039210526315792</c:v>
                </c:pt>
                <c:pt idx="2">
                  <c:v>37.597105263157893</c:v>
                </c:pt>
                <c:pt idx="3">
                  <c:v>34.36513157894737</c:v>
                </c:pt>
                <c:pt idx="4">
                  <c:v>30.017105263157898</c:v>
                </c:pt>
                <c:pt idx="5">
                  <c:v>25.861052631578946</c:v>
                </c:pt>
                <c:pt idx="6">
                  <c:v>19.457236842105264</c:v>
                </c:pt>
                <c:pt idx="7">
                  <c:v>0.68118421052631584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7A-4F74-ADFB-FB33093404A5}"/>
            </c:ext>
          </c:extLst>
        </c:ser>
        <c:ser>
          <c:idx val="5"/>
          <c:order val="5"/>
          <c:tx>
            <c:strRef>
              <c:f>'538-4000R-F'!$J$8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'538-4000R-F'!$J$9:$J$10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'538-4000R-F'!$K$9:$K$10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7A-4F74-ADFB-FB33093404A5}"/>
            </c:ext>
          </c:extLst>
        </c:ser>
        <c:ser>
          <c:idx val="6"/>
          <c:order val="6"/>
          <c:tx>
            <c:strRef>
              <c:f>'538-4000R-F'!$J$11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'538-4000R-F'!$J$12:$J$13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'538-4000R-F'!$K$12:$K$13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E7A-4F74-ADFB-FB33093404A5}"/>
            </c:ext>
          </c:extLst>
        </c:ser>
        <c:ser>
          <c:idx val="7"/>
          <c:order val="7"/>
          <c:tx>
            <c:strRef>
              <c:f>'538-4000R-F'!$J$14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'538-4000R-F'!$J$15:$J$16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'538-4000R-F'!$K$15:$K$16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E7A-4F74-ADFB-FB33093404A5}"/>
            </c:ext>
          </c:extLst>
        </c:ser>
        <c:ser>
          <c:idx val="8"/>
          <c:order val="8"/>
          <c:tx>
            <c:strRef>
              <c:f>'538-4000R-F'!$AA$5:$AD$5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'538-4000R-F'!$AA$9:$AA$18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'538-4000R-F'!$AB$9:$AB$18</c:f>
              <c:numCache>
                <c:formatCode>0.0000</c:formatCode>
                <c:ptCount val="10"/>
                <c:pt idx="0">
                  <c:v>55.159590000000001</c:v>
                </c:pt>
                <c:pt idx="1">
                  <c:v>55.59955494152539</c:v>
                </c:pt>
                <c:pt idx="2">
                  <c:v>55.549834901312501</c:v>
                </c:pt>
                <c:pt idx="3">
                  <c:v>47.073785384975046</c:v>
                </c:pt>
                <c:pt idx="4">
                  <c:v>35.710594502449737</c:v>
                </c:pt>
                <c:pt idx="5">
                  <c:v>27.815463777769857</c:v>
                </c:pt>
                <c:pt idx="6">
                  <c:v>21.108611150597142</c:v>
                </c:pt>
                <c:pt idx="7">
                  <c:v>16.425653627887826</c:v>
                </c:pt>
                <c:pt idx="8">
                  <c:v>9.663166424328665</c:v>
                </c:pt>
                <c:pt idx="9">
                  <c:v>9.4328034895823976E-2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E7A-4F74-ADFB-FB3309340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  <c:max val="1200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8.5043999923173158E-2"/>
          <c:w val="0.29811987307556703"/>
          <c:h val="0.81961322984669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BRAKE POWER - OD 538-4000R-F</a:t>
            </a:r>
          </a:p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'538-4000R-F'!$A$5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'538-4000R-F'!$A$9:$A$21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'538-4000R-F'!$C$9:$C$21</c:f>
              <c:numCache>
                <c:formatCode>0.0000</c:formatCode>
                <c:ptCount val="13"/>
                <c:pt idx="0">
                  <c:v>2.8245</c:v>
                </c:pt>
                <c:pt idx="1">
                  <c:v>2.767020703856836</c:v>
                </c:pt>
                <c:pt idx="2">
                  <c:v>2.7212485692937505</c:v>
                </c:pt>
                <c:pt idx="3">
                  <c:v>2.5884125314547242</c:v>
                </c:pt>
                <c:pt idx="4">
                  <c:v>2.5398848447232392</c:v>
                </c:pt>
                <c:pt idx="5">
                  <c:v>2.4580554235397249</c:v>
                </c:pt>
                <c:pt idx="6">
                  <c:v>2.3771875742807049</c:v>
                </c:pt>
                <c:pt idx="7">
                  <c:v>2.3464532565127567</c:v>
                </c:pt>
                <c:pt idx="8">
                  <c:v>2.308011977164421</c:v>
                </c:pt>
                <c:pt idx="9">
                  <c:v>2.2339832894354554</c:v>
                </c:pt>
                <c:pt idx="10">
                  <c:v>2.0764822614000007</c:v>
                </c:pt>
                <c:pt idx="11">
                  <c:v>1.9168084970062509</c:v>
                </c:pt>
                <c:pt idx="12">
                  <c:v>1.6844520287999956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D-48DD-AA54-B4D8F35B77AB}"/>
            </c:ext>
          </c:extLst>
        </c:ser>
        <c:ser>
          <c:idx val="0"/>
          <c:order val="1"/>
          <c:tx>
            <c:strRef>
              <c:f>'538-4000R-F'!$H$7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'538-4000R-F'!$A$11:$A$19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'538-4000R-F'!$H$11:$H$19</c:f>
              <c:numCache>
                <c:formatCode>0.0000</c:formatCode>
                <c:ptCount val="9"/>
                <c:pt idx="0">
                  <c:v>2.5035486837502505</c:v>
                </c:pt>
                <c:pt idx="1">
                  <c:v>2.3813395289383466</c:v>
                </c:pt>
                <c:pt idx="2">
                  <c:v>2.33669405714538</c:v>
                </c:pt>
                <c:pt idx="3">
                  <c:v>2.2614109896565471</c:v>
                </c:pt>
                <c:pt idx="4">
                  <c:v>2.1870125683382486</c:v>
                </c:pt>
                <c:pt idx="5">
                  <c:v>2.1587369959917364</c:v>
                </c:pt>
                <c:pt idx="6">
                  <c:v>2.1233710189912673</c:v>
                </c:pt>
                <c:pt idx="7">
                  <c:v>2.0552646262806191</c:v>
                </c:pt>
                <c:pt idx="8">
                  <c:v>1.9103636804880006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D-48DD-AA54-B4D8F35B77AB}"/>
            </c:ext>
          </c:extLst>
        </c:ser>
        <c:ser>
          <c:idx val="2"/>
          <c:order val="2"/>
          <c:tx>
            <c:strRef>
              <c:f>'538-4000R-F'!$I$7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'538-4000R-F'!$A$11:$A$19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'538-4000R-F'!$I$11:$I$19</c:f>
              <c:numCache>
                <c:formatCode>0.0000</c:formatCode>
                <c:ptCount val="9"/>
                <c:pt idx="0">
                  <c:v>2.9389484548372509</c:v>
                </c:pt>
                <c:pt idx="1">
                  <c:v>2.7954855339711022</c:v>
                </c:pt>
                <c:pt idx="2">
                  <c:v>2.7430756323010983</c:v>
                </c:pt>
                <c:pt idx="3">
                  <c:v>2.6546998574229033</c:v>
                </c:pt>
                <c:pt idx="4">
                  <c:v>2.5673625802231617</c:v>
                </c:pt>
                <c:pt idx="5">
                  <c:v>2.5341695170337775</c:v>
                </c:pt>
                <c:pt idx="6">
                  <c:v>2.4926529353375746</c:v>
                </c:pt>
                <c:pt idx="7">
                  <c:v>2.4127019525902922</c:v>
                </c:pt>
                <c:pt idx="8">
                  <c:v>2.242600842312001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0D-48DD-AA54-B4D8F35B77AB}"/>
            </c:ext>
          </c:extLst>
        </c:ser>
        <c:ser>
          <c:idx val="3"/>
          <c:order val="3"/>
          <c:tx>
            <c:strRef>
              <c:f>'538-4000R-F'!$T$56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'538-4000R-F'!$T$60:$T$72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'538-4000R-F'!$V$60:$V$72</c:f>
              <c:numCache>
                <c:formatCode>0.0000</c:formatCode>
                <c:ptCount val="13"/>
                <c:pt idx="0">
                  <c:v>0.76911099999999999</c:v>
                </c:pt>
                <c:pt idx="1">
                  <c:v>0.84247649874999997</c:v>
                </c:pt>
                <c:pt idx="2">
                  <c:v>0.911883895</c:v>
                </c:pt>
                <c:pt idx="3">
                  <c:v>1.2908611709874998</c:v>
                </c:pt>
                <c:pt idx="4">
                  <c:v>1.4703104999499998</c:v>
                </c:pt>
                <c:pt idx="5">
                  <c:v>1.4502318818875</c:v>
                </c:pt>
                <c:pt idx="6">
                  <c:v>1.2306253167999999</c:v>
                </c:pt>
                <c:pt idx="7">
                  <c:v>1.0548094799499999</c:v>
                </c:pt>
                <c:pt idx="8">
                  <c:v>0.83323797819999967</c:v>
                </c:pt>
                <c:pt idx="9">
                  <c:v>0.56591081154999978</c:v>
                </c:pt>
                <c:pt idx="10">
                  <c:v>0.25282797999999973</c:v>
                </c:pt>
                <c:pt idx="11">
                  <c:v>4.7287854999999546E-2</c:v>
                </c:pt>
                <c:pt idx="12">
                  <c:v>-0.17408467999999999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0D-48DD-AA54-B4D8F35B77AB}"/>
            </c:ext>
          </c:extLst>
        </c:ser>
        <c:ser>
          <c:idx val="4"/>
          <c:order val="4"/>
          <c:tx>
            <c:strRef>
              <c:f>'538-4000R-F'!$H$56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'538-4000R-F'!$I$60:$I$67</c:f>
              <c:numCache>
                <c:formatCode>0.00</c:formatCode>
                <c:ptCount val="8"/>
                <c:pt idx="0">
                  <c:v>55.65</c:v>
                </c:pt>
                <c:pt idx="1">
                  <c:v>3096.25</c:v>
                </c:pt>
                <c:pt idx="2">
                  <c:v>3608.72</c:v>
                </c:pt>
                <c:pt idx="3">
                  <c:v>4031.4</c:v>
                </c:pt>
                <c:pt idx="4">
                  <c:v>4464.0600000000004</c:v>
                </c:pt>
                <c:pt idx="5">
                  <c:v>4882.62</c:v>
                </c:pt>
                <c:pt idx="6">
                  <c:v>5390.55</c:v>
                </c:pt>
                <c:pt idx="7">
                  <c:v>6456.45</c:v>
                </c:pt>
              </c:numCache>
            </c:numRef>
          </c:xVal>
          <c:yVal>
            <c:numRef>
              <c:f>'538-4000R-F'!$O$60:$O$67</c:f>
              <c:numCache>
                <c:formatCode>0.00</c:formatCode>
                <c:ptCount val="8"/>
                <c:pt idx="0">
                  <c:v>0.78503947368421045</c:v>
                </c:pt>
                <c:pt idx="1">
                  <c:v>1.4101842105263158</c:v>
                </c:pt>
                <c:pt idx="2">
                  <c:v>1.4492236842105264</c:v>
                </c:pt>
                <c:pt idx="3">
                  <c:v>1.4528552631578948</c:v>
                </c:pt>
                <c:pt idx="4">
                  <c:v>1.4650657894736843</c:v>
                </c:pt>
                <c:pt idx="5">
                  <c:v>1.4866578947368421</c:v>
                </c:pt>
                <c:pt idx="6">
                  <c:v>1.4995921052631578</c:v>
                </c:pt>
                <c:pt idx="7">
                  <c:v>1.3874210526315789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0D-48DD-AA54-B4D8F35B77AB}"/>
            </c:ext>
          </c:extLst>
        </c:ser>
        <c:ser>
          <c:idx val="5"/>
          <c:order val="5"/>
          <c:tx>
            <c:strRef>
              <c:f>'538-4000R-F'!$J$8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'538-4000R-F'!$J$9:$J$10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'538-4000R-F'!$L$9:$L$10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0D-48DD-AA54-B4D8F35B77AB}"/>
            </c:ext>
          </c:extLst>
        </c:ser>
        <c:ser>
          <c:idx val="6"/>
          <c:order val="6"/>
          <c:tx>
            <c:strRef>
              <c:f>'538-4000R-F'!$J$11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'538-4000R-F'!$J$12:$J$13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'538-4000R-F'!$L$12:$L$13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60D-48DD-AA54-B4D8F35B77AB}"/>
            </c:ext>
          </c:extLst>
        </c:ser>
        <c:ser>
          <c:idx val="7"/>
          <c:order val="7"/>
          <c:tx>
            <c:strRef>
              <c:f>'538-4000R-F'!$J$14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'538-4000R-F'!$J$15:$J$16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'538-4000R-F'!$L$15:$L$16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60D-48DD-AA54-B4D8F35B77AB}"/>
            </c:ext>
          </c:extLst>
        </c:ser>
        <c:ser>
          <c:idx val="8"/>
          <c:order val="8"/>
          <c:tx>
            <c:strRef>
              <c:f>'538-4000R-F'!$AA$5:$AD$5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'538-4000R-F'!$AA$9:$AA$18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'538-4000R-F'!$AC$9:$AC$18</c:f>
              <c:numCache>
                <c:formatCode>0.0000</c:formatCode>
                <c:ptCount val="10"/>
                <c:pt idx="0">
                  <c:v>2.8273730000000001</c:v>
                </c:pt>
                <c:pt idx="1">
                  <c:v>2.8598398731677634</c:v>
                </c:pt>
                <c:pt idx="2">
                  <c:v>2.8866248946184374</c:v>
                </c:pt>
                <c:pt idx="3">
                  <c:v>2.9198156570568128</c:v>
                </c:pt>
                <c:pt idx="4">
                  <c:v>2.7836878883631275</c:v>
                </c:pt>
                <c:pt idx="5">
                  <c:v>2.6868232072573641</c:v>
                </c:pt>
                <c:pt idx="6">
                  <c:v>2.7410720997602307</c:v>
                </c:pt>
                <c:pt idx="7">
                  <c:v>2.7809432250971549</c:v>
                </c:pt>
                <c:pt idx="8">
                  <c:v>2.7597513937590046</c:v>
                </c:pt>
                <c:pt idx="9">
                  <c:v>2.5863548884430276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60D-48DD-AA54-B4D8F35B7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  <c:max val="12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3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23302905047986966"/>
          <c:w val="0.22394875549398618"/>
          <c:h val="0.61526112184405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TDH test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4.15555026619705E-2"/>
                  <c:y val="-0.50584721846167824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'538-4000R-F'!$I$60:$I$72</c:f>
              <c:numCache>
                <c:formatCode>0.00</c:formatCode>
                <c:ptCount val="13"/>
                <c:pt idx="0">
                  <c:v>55.65</c:v>
                </c:pt>
                <c:pt idx="1">
                  <c:v>3096.25</c:v>
                </c:pt>
                <c:pt idx="2">
                  <c:v>3608.72</c:v>
                </c:pt>
                <c:pt idx="3">
                  <c:v>4031.4</c:v>
                </c:pt>
                <c:pt idx="4">
                  <c:v>4464.0600000000004</c:v>
                </c:pt>
                <c:pt idx="5">
                  <c:v>4882.62</c:v>
                </c:pt>
                <c:pt idx="6">
                  <c:v>5390.55</c:v>
                </c:pt>
                <c:pt idx="7">
                  <c:v>6456.45</c:v>
                </c:pt>
              </c:numCache>
            </c:numRef>
          </c:xVal>
          <c:yVal>
            <c:numRef>
              <c:f>'538-4000R-F'!$L$60:$L$72</c:f>
              <c:numCache>
                <c:formatCode>0.00</c:formatCode>
                <c:ptCount val="13"/>
                <c:pt idx="0">
                  <c:v>52.711184210526319</c:v>
                </c:pt>
                <c:pt idx="1">
                  <c:v>42.039210526315792</c:v>
                </c:pt>
                <c:pt idx="2">
                  <c:v>37.597105263157893</c:v>
                </c:pt>
                <c:pt idx="3">
                  <c:v>34.36513157894737</c:v>
                </c:pt>
                <c:pt idx="4">
                  <c:v>30.017105263157898</c:v>
                </c:pt>
                <c:pt idx="5">
                  <c:v>25.861052631578946</c:v>
                </c:pt>
                <c:pt idx="6">
                  <c:v>19.457236842105264</c:v>
                </c:pt>
                <c:pt idx="7">
                  <c:v>0.68118421052631584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9B-4502-8001-1A69E0BD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3670731791771412E-2"/>
                  <c:y val="-0.12722482832646576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'538-4000R-F'!$I$60:$I$72</c:f>
              <c:numCache>
                <c:formatCode>0.00</c:formatCode>
                <c:ptCount val="13"/>
                <c:pt idx="0">
                  <c:v>55.65</c:v>
                </c:pt>
                <c:pt idx="1">
                  <c:v>3096.25</c:v>
                </c:pt>
                <c:pt idx="2">
                  <c:v>3608.72</c:v>
                </c:pt>
                <c:pt idx="3">
                  <c:v>4031.4</c:v>
                </c:pt>
                <c:pt idx="4">
                  <c:v>4464.0600000000004</c:v>
                </c:pt>
                <c:pt idx="5">
                  <c:v>4882.62</c:v>
                </c:pt>
                <c:pt idx="6">
                  <c:v>5390.55</c:v>
                </c:pt>
                <c:pt idx="7">
                  <c:v>6456.45</c:v>
                </c:pt>
              </c:numCache>
            </c:numRef>
          </c:xVal>
          <c:yVal>
            <c:numRef>
              <c:f>'538-4000R-F'!$O$60:$O$72</c:f>
              <c:numCache>
                <c:formatCode>0.00</c:formatCode>
                <c:ptCount val="13"/>
                <c:pt idx="0">
                  <c:v>0.78503947368421045</c:v>
                </c:pt>
                <c:pt idx="1">
                  <c:v>1.4101842105263158</c:v>
                </c:pt>
                <c:pt idx="2">
                  <c:v>1.4492236842105264</c:v>
                </c:pt>
                <c:pt idx="3">
                  <c:v>1.4528552631578948</c:v>
                </c:pt>
                <c:pt idx="4">
                  <c:v>1.4650657894736843</c:v>
                </c:pt>
                <c:pt idx="5">
                  <c:v>1.4866578947368421</c:v>
                </c:pt>
                <c:pt idx="6">
                  <c:v>1.4995921052631578</c:v>
                </c:pt>
                <c:pt idx="7">
                  <c:v>1.3874210526315789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4C-409B-AF9C-FFCEE1106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EFFICIENCY - OD 538-4000R-F</a:t>
            </a:r>
            <a:endParaRPr lang="en-CA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'538-4000R-F'!$T$56:$W$56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75DBFF"/>
              </a:solidFill>
              <a:prstDash val="solid"/>
            </a:ln>
          </c:spPr>
          <c:marker>
            <c:symbol val="none"/>
          </c:marker>
          <c:xVal>
            <c:numRef>
              <c:f>'538-4000R-F'!$T$62:$T$70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'538-4000R-F'!$W$62:$W$70</c:f>
              <c:numCache>
                <c:formatCode>0.0</c:formatCode>
                <c:ptCount val="9"/>
                <c:pt idx="0">
                  <c:v>20.811138210541436</c:v>
                </c:pt>
                <c:pt idx="1">
                  <c:v>59.366163778935181</c:v>
                </c:pt>
                <c:pt idx="2">
                  <c:v>69.779782969111864</c:v>
                </c:pt>
                <c:pt idx="3">
                  <c:v>36.363103404823924</c:v>
                </c:pt>
                <c:pt idx="4">
                  <c:v>-117.3303036760328</c:v>
                </c:pt>
                <c:pt idx="5">
                  <c:v>-302.21505413556548</c:v>
                </c:pt>
                <c:pt idx="6">
                  <c:v>-674.76170603342371</c:v>
                </c:pt>
                <c:pt idx="7">
                  <c:v>-1571.37385972782</c:v>
                </c:pt>
                <c:pt idx="8">
                  <c:v>-5204.2122334024425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C0-45C9-A611-CF02AC60F6F0}"/>
            </c:ext>
          </c:extLst>
        </c:ser>
        <c:ser>
          <c:idx val="1"/>
          <c:order val="1"/>
          <c:tx>
            <c:strRef>
              <c:f>'538-4000R-F'!$X$57:$AB$57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'538-4000R-F'!$T$66</c:f>
              <c:numCache>
                <c:formatCode>0</c:formatCode>
                <c:ptCount val="1"/>
                <c:pt idx="0">
                  <c:v>7600</c:v>
                </c:pt>
              </c:numCache>
            </c:numRef>
          </c:xVal>
          <c:yVal>
            <c:numRef>
              <c:f>'538-4000R-F'!$AB$66</c:f>
              <c:numCache>
                <c:formatCode>0.0</c:formatCode>
                <c:ptCount val="1"/>
                <c:pt idx="0">
                  <c:v>55.693060246852674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C0-45C9-A611-CF02AC60F6F0}"/>
            </c:ext>
          </c:extLst>
        </c:ser>
        <c:ser>
          <c:idx val="2"/>
          <c:order val="2"/>
          <c:tx>
            <c:strRef>
              <c:f>'538-4000R-F'!$Q$56:$S$56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'538-4000R-F'!$T$66</c:f>
              <c:numCache>
                <c:formatCode>0</c:formatCode>
                <c:ptCount val="1"/>
                <c:pt idx="0">
                  <c:v>7600</c:v>
                </c:pt>
              </c:numCache>
            </c:numRef>
          </c:xVal>
          <c:yVal>
            <c:numRef>
              <c:f>'538-4000R-F'!$I$3</c:f>
              <c:numCache>
                <c:formatCode>0.0</c:formatCode>
                <c:ptCount val="1"/>
                <c:pt idx="0">
                  <c:v>61.881178052058523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C0-45C9-A611-CF02AC60F6F0}"/>
            </c:ext>
          </c:extLst>
        </c:ser>
        <c:ser>
          <c:idx val="3"/>
          <c:order val="3"/>
          <c:tx>
            <c:strRef>
              <c:f>'538-4000R-F'!$J$8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'538-4000R-F'!$J$9:$J$10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'538-4000R-F'!$M$9:$M$10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C0-45C9-A611-CF02AC60F6F0}"/>
            </c:ext>
          </c:extLst>
        </c:ser>
        <c:ser>
          <c:idx val="5"/>
          <c:order val="4"/>
          <c:tx>
            <c:strRef>
              <c:f>'538-4000R-F'!$J$14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'538-4000R-F'!$J$15:$J$16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'538-4000R-F'!$M$15:$M$16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C0-45C9-A611-CF02AC60F6F0}"/>
            </c:ext>
          </c:extLst>
        </c:ser>
        <c:ser>
          <c:idx val="4"/>
          <c:order val="5"/>
          <c:tx>
            <c:strRef>
              <c:f>'538-4000R-F'!$J$11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'538-4000R-F'!$J$12:$J$13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'538-4000R-F'!$M$12:$M$13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C0-45C9-A611-CF02AC60F6F0}"/>
            </c:ext>
          </c:extLst>
        </c:ser>
        <c:ser>
          <c:idx val="6"/>
          <c:order val="6"/>
          <c:tx>
            <c:strRef>
              <c:f>'538-4000R-F'!$AA$5:$AD$5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'538-4000R-F'!$AA$9:$AA$18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'538-4000R-F'!$AD$9:$AD$18</c:f>
              <c:numCache>
                <c:formatCode>0.00</c:formatCode>
                <c:ptCount val="10"/>
                <c:pt idx="0">
                  <c:v>3.72368E-2</c:v>
                </c:pt>
                <c:pt idx="1">
                  <c:v>3.8849567373818363</c:v>
                </c:pt>
                <c:pt idx="2">
                  <c:v>7.4926299287187508</c:v>
                </c:pt>
                <c:pt idx="3">
                  <c:v>26.943121119263353</c:v>
                </c:pt>
                <c:pt idx="4">
                  <c:v>38.365410167951239</c:v>
                </c:pt>
                <c:pt idx="5">
                  <c:v>44.540327376631247</c:v>
                </c:pt>
                <c:pt idx="6">
                  <c:v>43.13951378781185</c:v>
                </c:pt>
                <c:pt idx="7">
                  <c:v>36.788234694086555</c:v>
                </c:pt>
                <c:pt idx="8">
                  <c:v>23.826781799237864</c:v>
                </c:pt>
                <c:pt idx="9">
                  <c:v>1.0538681326821688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C0-45C9-A611-CF02AC60F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1813200904005026"/>
          <c:h val="0.326662017778910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TDH - OD 538-5500R-F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'538-5500R-F'!$A$5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'538-5500R-F'!$A$9:$A$21</c:f>
              <c:numCache>
                <c:formatCode>General</c:formatCode>
                <c:ptCount val="13"/>
                <c:pt idx="0">
                  <c:v>0</c:v>
                </c:pt>
                <c:pt idx="1">
                  <c:v>2320</c:v>
                </c:pt>
                <c:pt idx="2" formatCode="0">
                  <c:v>4640</c:v>
                </c:pt>
                <c:pt idx="3">
                  <c:v>4930</c:v>
                </c:pt>
                <c:pt idx="4">
                  <c:v>5220</c:v>
                </c:pt>
                <c:pt idx="5">
                  <c:v>5510</c:v>
                </c:pt>
                <c:pt idx="6" formatCode="0">
                  <c:v>5800</c:v>
                </c:pt>
                <c:pt idx="7">
                  <c:v>6090</c:v>
                </c:pt>
                <c:pt idx="8">
                  <c:v>6380</c:v>
                </c:pt>
                <c:pt idx="9">
                  <c:v>6670</c:v>
                </c:pt>
                <c:pt idx="10" formatCode="0">
                  <c:v>6960</c:v>
                </c:pt>
                <c:pt idx="11">
                  <c:v>8230</c:v>
                </c:pt>
                <c:pt idx="12">
                  <c:v>9500</c:v>
                </c:pt>
              </c:numCache>
            </c:numRef>
          </c:xVal>
          <c:yVal>
            <c:numRef>
              <c:f>'538-5500R-F'!$B$9:$B$21</c:f>
              <c:numCache>
                <c:formatCode>0.0000</c:formatCode>
                <c:ptCount val="13"/>
                <c:pt idx="0">
                  <c:v>61.933599999999998</c:v>
                </c:pt>
                <c:pt idx="1">
                  <c:v>57.217090727885541</c:v>
                </c:pt>
                <c:pt idx="2">
                  <c:v>51.157288376179764</c:v>
                </c:pt>
                <c:pt idx="3">
                  <c:v>50.194557313093469</c:v>
                </c:pt>
                <c:pt idx="4">
                  <c:v>49.042639338557279</c:v>
                </c:pt>
                <c:pt idx="5">
                  <c:v>47.65608071143015</c:v>
                </c:pt>
                <c:pt idx="6">
                  <c:v>45.993450185472014</c:v>
                </c:pt>
                <c:pt idx="7">
                  <c:v>44.019375864892694</c:v>
                </c:pt>
                <c:pt idx="8">
                  <c:v>41.70658205990145</c:v>
                </c:pt>
                <c:pt idx="9">
                  <c:v>39.037926142255998</c:v>
                </c:pt>
                <c:pt idx="10">
                  <c:v>36.008435400811493</c:v>
                </c:pt>
                <c:pt idx="11">
                  <c:v>19.086657382596513</c:v>
                </c:pt>
                <c:pt idx="12">
                  <c:v>1.1160875812498716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6D-40B6-B781-4948749082C2}"/>
            </c:ext>
          </c:extLst>
        </c:ser>
        <c:ser>
          <c:idx val="1"/>
          <c:order val="1"/>
          <c:tx>
            <c:strRef>
              <c:f>'538-5500R-F'!$D$6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'538-5500R-F'!$A$11:$A$19</c:f>
              <c:numCache>
                <c:formatCode>General</c:formatCode>
                <c:ptCount val="9"/>
                <c:pt idx="0" formatCode="0">
                  <c:v>4640</c:v>
                </c:pt>
                <c:pt idx="1">
                  <c:v>4930</c:v>
                </c:pt>
                <c:pt idx="2">
                  <c:v>5220</c:v>
                </c:pt>
                <c:pt idx="3">
                  <c:v>5510</c:v>
                </c:pt>
                <c:pt idx="4" formatCode="0">
                  <c:v>5800</c:v>
                </c:pt>
                <c:pt idx="5">
                  <c:v>6090</c:v>
                </c:pt>
                <c:pt idx="6">
                  <c:v>6380</c:v>
                </c:pt>
                <c:pt idx="7">
                  <c:v>6670</c:v>
                </c:pt>
                <c:pt idx="8" formatCode="0">
                  <c:v>6960</c:v>
                </c:pt>
              </c:numCache>
            </c:numRef>
          </c:xVal>
          <c:yVal>
            <c:numRef>
              <c:f>'538-5500R-F'!$E$11:$E$19</c:f>
              <c:numCache>
                <c:formatCode>0.0000</c:formatCode>
                <c:ptCount val="9"/>
                <c:pt idx="0">
                  <c:v>54.414279370244778</c:v>
                </c:pt>
                <c:pt idx="1">
                  <c:v>53.574237929044301</c:v>
                </c:pt>
                <c:pt idx="2">
                  <c:v>52.593083739684175</c:v>
                </c:pt>
                <c:pt idx="3">
                  <c:v>51.428210614853448</c:v>
                </c:pt>
                <c:pt idx="4">
                  <c:v>50.03888474700166</c:v>
                </c:pt>
                <c:pt idx="5">
                  <c:v>48.387899592335373</c:v>
                </c:pt>
                <c:pt idx="6">
                  <c:v>46.44323075481423</c:v>
                </c:pt>
                <c:pt idx="7">
                  <c:v>44.179690870147162</c:v>
                </c:pt>
                <c:pt idx="8">
                  <c:v>41.580584489788841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6D-40B6-B781-4948749082C2}"/>
            </c:ext>
          </c:extLst>
        </c:ser>
        <c:ser>
          <c:idx val="2"/>
          <c:order val="2"/>
          <c:tx>
            <c:strRef>
              <c:f>'538-5500R-F'!$F$6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'538-5500R-F'!$A$11:$A$19</c:f>
              <c:numCache>
                <c:formatCode>General</c:formatCode>
                <c:ptCount val="9"/>
                <c:pt idx="0" formatCode="0">
                  <c:v>4640</c:v>
                </c:pt>
                <c:pt idx="1">
                  <c:v>4930</c:v>
                </c:pt>
                <c:pt idx="2">
                  <c:v>5220</c:v>
                </c:pt>
                <c:pt idx="3">
                  <c:v>5510</c:v>
                </c:pt>
                <c:pt idx="4" formatCode="0">
                  <c:v>5800</c:v>
                </c:pt>
                <c:pt idx="5">
                  <c:v>6090</c:v>
                </c:pt>
                <c:pt idx="6">
                  <c:v>6380</c:v>
                </c:pt>
                <c:pt idx="7">
                  <c:v>6670</c:v>
                </c:pt>
                <c:pt idx="8" formatCode="0">
                  <c:v>6960</c:v>
                </c:pt>
              </c:numCache>
            </c:numRef>
          </c:xVal>
          <c:yVal>
            <c:numRef>
              <c:f>'538-5500R-F'!$G$11:$G$19</c:f>
              <c:numCache>
                <c:formatCode>0.0000</c:formatCode>
                <c:ptCount val="9"/>
                <c:pt idx="0">
                  <c:v>47.880699300833861</c:v>
                </c:pt>
                <c:pt idx="1">
                  <c:v>46.767844656776106</c:v>
                </c:pt>
                <c:pt idx="2">
                  <c:v>45.41619113039885</c:v>
                </c:pt>
                <c:pt idx="3">
                  <c:v>43.779528202589148</c:v>
                </c:pt>
                <c:pt idx="4">
                  <c:v>41.81840707164806</c:v>
                </c:pt>
                <c:pt idx="5">
                  <c:v>39.502610274414593</c:v>
                </c:pt>
                <c:pt idx="6">
                  <c:v>36.813621307389162</c:v>
                </c:pt>
                <c:pt idx="7">
                  <c:v>33.747094247857824</c:v>
                </c:pt>
                <c:pt idx="8">
                  <c:v>30.315323375015652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6D-40B6-B781-4948749082C2}"/>
            </c:ext>
          </c:extLst>
        </c:ser>
        <c:ser>
          <c:idx val="3"/>
          <c:order val="3"/>
          <c:tx>
            <c:strRef>
              <c:f>'538-5500R-F'!$T$56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'538-5500R-F'!$T$60:$T$72</c:f>
              <c:numCache>
                <c:formatCode>General</c:formatCode>
                <c:ptCount val="13"/>
                <c:pt idx="0">
                  <c:v>0</c:v>
                </c:pt>
                <c:pt idx="1">
                  <c:v>2320</c:v>
                </c:pt>
                <c:pt idx="2" formatCode="0">
                  <c:v>4640</c:v>
                </c:pt>
                <c:pt idx="3">
                  <c:v>4930</c:v>
                </c:pt>
                <c:pt idx="4">
                  <c:v>5220</c:v>
                </c:pt>
                <c:pt idx="5">
                  <c:v>5510</c:v>
                </c:pt>
                <c:pt idx="6" formatCode="0">
                  <c:v>5800</c:v>
                </c:pt>
                <c:pt idx="7">
                  <c:v>6090</c:v>
                </c:pt>
                <c:pt idx="8">
                  <c:v>6380</c:v>
                </c:pt>
                <c:pt idx="9">
                  <c:v>6670</c:v>
                </c:pt>
                <c:pt idx="10" formatCode="0">
                  <c:v>6960</c:v>
                </c:pt>
                <c:pt idx="11">
                  <c:v>8230</c:v>
                </c:pt>
                <c:pt idx="12">
                  <c:v>9500</c:v>
                </c:pt>
              </c:numCache>
            </c:numRef>
          </c:xVal>
          <c:yVal>
            <c:numRef>
              <c:f>'538-5500R-F'!$U$60:$U$72</c:f>
              <c:numCache>
                <c:formatCode>0.0000</c:formatCode>
                <c:ptCount val="13"/>
                <c:pt idx="0">
                  <c:v>65.12594</c:v>
                </c:pt>
                <c:pt idx="1">
                  <c:v>58.551324547454065</c:v>
                </c:pt>
                <c:pt idx="2">
                  <c:v>53.077090143530789</c:v>
                </c:pt>
                <c:pt idx="3">
                  <c:v>51.643418433665367</c:v>
                </c:pt>
                <c:pt idx="4">
                  <c:v>49.986769866687723</c:v>
                </c:pt>
                <c:pt idx="5">
                  <c:v>48.100340852360738</c:v>
                </c:pt>
                <c:pt idx="6">
                  <c:v>45.981164101494556</c:v>
                </c:pt>
                <c:pt idx="7">
                  <c:v>43.630172240331696</c:v>
                </c:pt>
                <c:pt idx="8">
                  <c:v>41.052261424932091</c:v>
                </c:pt>
                <c:pt idx="9">
                  <c:v>38.256354955558329</c:v>
                </c:pt>
                <c:pt idx="10">
                  <c:v>35.255466891060706</c:v>
                </c:pt>
                <c:pt idx="11">
                  <c:v>20.219113882470914</c:v>
                </c:pt>
                <c:pt idx="12">
                  <c:v>4.1224170554843553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6D-40B6-B781-4948749082C2}"/>
            </c:ext>
          </c:extLst>
        </c:ser>
        <c:ser>
          <c:idx val="4"/>
          <c:order val="4"/>
          <c:tx>
            <c:strRef>
              <c:f>'538-5500R-F'!$H$56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'538-5500R-F'!$I$60:$I$67</c:f>
              <c:numCache>
                <c:formatCode>0.00</c:formatCode>
                <c:ptCount val="8"/>
                <c:pt idx="0">
                  <c:v>47.18</c:v>
                </c:pt>
                <c:pt idx="1">
                  <c:v>4211.63</c:v>
                </c:pt>
                <c:pt idx="2">
                  <c:v>4833.17</c:v>
                </c:pt>
                <c:pt idx="3">
                  <c:v>5392.96</c:v>
                </c:pt>
                <c:pt idx="4">
                  <c:v>6080.62</c:v>
                </c:pt>
                <c:pt idx="5">
                  <c:v>6667.58</c:v>
                </c:pt>
                <c:pt idx="6">
                  <c:v>7248.27</c:v>
                </c:pt>
                <c:pt idx="7">
                  <c:v>9262.5400000000009</c:v>
                </c:pt>
              </c:numCache>
            </c:numRef>
          </c:xVal>
          <c:yVal>
            <c:numRef>
              <c:f>'538-5500R-F'!$L$60:$L$67</c:f>
              <c:numCache>
                <c:formatCode>0.00</c:formatCode>
                <c:ptCount val="8"/>
                <c:pt idx="0">
                  <c:v>64.826666666666668</c:v>
                </c:pt>
                <c:pt idx="1">
                  <c:v>54.774166666666666</c:v>
                </c:pt>
                <c:pt idx="2">
                  <c:v>52.308333333333337</c:v>
                </c:pt>
                <c:pt idx="3">
                  <c:v>48.64041666666666</c:v>
                </c:pt>
                <c:pt idx="4">
                  <c:v>43.911249999999995</c:v>
                </c:pt>
                <c:pt idx="5">
                  <c:v>38.187083333333334</c:v>
                </c:pt>
                <c:pt idx="6">
                  <c:v>32.101666666666667</c:v>
                </c:pt>
                <c:pt idx="7">
                  <c:v>7.0491666666666672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6D-40B6-B781-4948749082C2}"/>
            </c:ext>
          </c:extLst>
        </c:ser>
        <c:ser>
          <c:idx val="5"/>
          <c:order val="5"/>
          <c:tx>
            <c:strRef>
              <c:f>'538-5500R-F'!$J$8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'538-5500R-F'!$J$9:$J$10</c:f>
              <c:numCache>
                <c:formatCode>0</c:formatCode>
                <c:ptCount val="2"/>
                <c:pt idx="0">
                  <c:v>4640</c:v>
                </c:pt>
                <c:pt idx="1">
                  <c:v>4640</c:v>
                </c:pt>
              </c:numCache>
            </c:numRef>
          </c:xVal>
          <c:yVal>
            <c:numRef>
              <c:f>'538-5500R-F'!$K$9:$K$10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6D-40B6-B781-4948749082C2}"/>
            </c:ext>
          </c:extLst>
        </c:ser>
        <c:ser>
          <c:idx val="6"/>
          <c:order val="6"/>
          <c:tx>
            <c:strRef>
              <c:f>'538-5500R-F'!$J$11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'538-5500R-F'!$J$12:$J$13</c:f>
              <c:numCache>
                <c:formatCode>0</c:formatCode>
                <c:ptCount val="2"/>
                <c:pt idx="0">
                  <c:v>5800</c:v>
                </c:pt>
                <c:pt idx="1">
                  <c:v>5800</c:v>
                </c:pt>
              </c:numCache>
            </c:numRef>
          </c:xVal>
          <c:yVal>
            <c:numRef>
              <c:f>'538-5500R-F'!$K$12:$K$13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6D-40B6-B781-4948749082C2}"/>
            </c:ext>
          </c:extLst>
        </c:ser>
        <c:ser>
          <c:idx val="7"/>
          <c:order val="7"/>
          <c:tx>
            <c:strRef>
              <c:f>'538-5500R-F'!$J$14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'538-5500R-F'!$J$15:$J$16</c:f>
              <c:numCache>
                <c:formatCode>0</c:formatCode>
                <c:ptCount val="2"/>
                <c:pt idx="0">
                  <c:v>6960</c:v>
                </c:pt>
                <c:pt idx="1">
                  <c:v>6960</c:v>
                </c:pt>
              </c:numCache>
            </c:numRef>
          </c:xVal>
          <c:yVal>
            <c:numRef>
              <c:f>'538-5500R-F'!$K$15:$K$16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6D-40B6-B781-4948749082C2}"/>
            </c:ext>
          </c:extLst>
        </c:ser>
        <c:ser>
          <c:idx val="8"/>
          <c:order val="8"/>
          <c:tx>
            <c:strRef>
              <c:f>'538-5500R-F'!$AA$5:$AD$5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'538-5500R-F'!$AA$9:$AA$21</c:f>
              <c:numCache>
                <c:formatCode>General</c:formatCode>
                <c:ptCount val="13"/>
                <c:pt idx="0">
                  <c:v>0</c:v>
                </c:pt>
                <c:pt idx="1">
                  <c:v>2320</c:v>
                </c:pt>
                <c:pt idx="2">
                  <c:v>4640</c:v>
                </c:pt>
                <c:pt idx="3">
                  <c:v>4930</c:v>
                </c:pt>
                <c:pt idx="4">
                  <c:v>5220</c:v>
                </c:pt>
                <c:pt idx="5">
                  <c:v>5510</c:v>
                </c:pt>
                <c:pt idx="6">
                  <c:v>5800</c:v>
                </c:pt>
                <c:pt idx="7">
                  <c:v>6090</c:v>
                </c:pt>
                <c:pt idx="8">
                  <c:v>6380</c:v>
                </c:pt>
                <c:pt idx="9">
                  <c:v>6670</c:v>
                </c:pt>
                <c:pt idx="10">
                  <c:v>6960</c:v>
                </c:pt>
                <c:pt idx="11">
                  <c:v>8230</c:v>
                </c:pt>
                <c:pt idx="12">
                  <c:v>9500</c:v>
                </c:pt>
              </c:numCache>
            </c:numRef>
          </c:xVal>
          <c:yVal>
            <c:numRef>
              <c:f>'538-5500R-F'!$AB$9:$AB$21</c:f>
              <c:numCache>
                <c:formatCode>0.0000</c:formatCode>
                <c:ptCount val="13"/>
                <c:pt idx="0">
                  <c:v>73.387230000000002</c:v>
                </c:pt>
                <c:pt idx="1">
                  <c:v>61.363876310506029</c:v>
                </c:pt>
                <c:pt idx="2">
                  <c:v>50.413575714056208</c:v>
                </c:pt>
                <c:pt idx="3">
                  <c:v>49.209249674245811</c:v>
                </c:pt>
                <c:pt idx="4">
                  <c:v>47.909359369810012</c:v>
                </c:pt>
                <c:pt idx="5">
                  <c:v>46.468784677817311</c:v>
                </c:pt>
                <c:pt idx="6">
                  <c:v>44.845202684599712</c:v>
                </c:pt>
                <c:pt idx="7">
                  <c:v>43.001084514040258</c:v>
                </c:pt>
                <c:pt idx="8">
                  <c:v>40.905692155861601</c:v>
                </c:pt>
                <c:pt idx="9">
                  <c:v>38.537075293913759</c:v>
                </c:pt>
                <c:pt idx="10">
                  <c:v>35.884068134462382</c:v>
                </c:pt>
                <c:pt idx="11">
                  <c:v>21.289223247766188</c:v>
                </c:pt>
                <c:pt idx="12">
                  <c:v>5.9367976407498873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6D-40B6-B781-494874908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8.5043999923173158E-2"/>
          <c:w val="0.29811987307556703"/>
          <c:h val="0.81961322984669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BRAKE POWER - OD 538-5500R-F</a:t>
            </a:r>
          </a:p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'538-5500R-F'!$A$5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'538-5500R-F'!$A$9:$A$21</c:f>
              <c:numCache>
                <c:formatCode>General</c:formatCode>
                <c:ptCount val="13"/>
                <c:pt idx="0">
                  <c:v>0</c:v>
                </c:pt>
                <c:pt idx="1">
                  <c:v>2320</c:v>
                </c:pt>
                <c:pt idx="2" formatCode="0">
                  <c:v>4640</c:v>
                </c:pt>
                <c:pt idx="3">
                  <c:v>4930</c:v>
                </c:pt>
                <c:pt idx="4">
                  <c:v>5220</c:v>
                </c:pt>
                <c:pt idx="5">
                  <c:v>5510</c:v>
                </c:pt>
                <c:pt idx="6" formatCode="0">
                  <c:v>5800</c:v>
                </c:pt>
                <c:pt idx="7">
                  <c:v>6090</c:v>
                </c:pt>
                <c:pt idx="8">
                  <c:v>6380</c:v>
                </c:pt>
                <c:pt idx="9">
                  <c:v>6670</c:v>
                </c:pt>
                <c:pt idx="10" formatCode="0">
                  <c:v>6960</c:v>
                </c:pt>
                <c:pt idx="11">
                  <c:v>8230</c:v>
                </c:pt>
                <c:pt idx="12">
                  <c:v>9500</c:v>
                </c:pt>
              </c:numCache>
            </c:numRef>
          </c:xVal>
          <c:yVal>
            <c:numRef>
              <c:f>'538-5500R-F'!$C$9:$C$21</c:f>
              <c:numCache>
                <c:formatCode>0.0000</c:formatCode>
                <c:ptCount val="13"/>
                <c:pt idx="0">
                  <c:v>1.6020000000000001</c:v>
                </c:pt>
                <c:pt idx="1">
                  <c:v>2.0460611284515422</c:v>
                </c:pt>
                <c:pt idx="2">
                  <c:v>2.5740464989297713</c:v>
                </c:pt>
                <c:pt idx="3">
                  <c:v>2.62241970273555</c:v>
                </c:pt>
                <c:pt idx="4">
                  <c:v>2.6657939287166483</c:v>
                </c:pt>
                <c:pt idx="5">
                  <c:v>2.7040396912186</c:v>
                </c:pt>
                <c:pt idx="6">
                  <c:v>2.737059408709952</c:v>
                </c:pt>
                <c:pt idx="7">
                  <c:v>2.7647711199154346</c:v>
                </c:pt>
                <c:pt idx="8">
                  <c:v>2.7870921999491363</c:v>
                </c:pt>
                <c:pt idx="9">
                  <c:v>2.8039230764476795</c:v>
                </c:pt>
                <c:pt idx="10">
                  <c:v>2.8151309457033857</c:v>
                </c:pt>
                <c:pt idx="11">
                  <c:v>2.7918583775923769</c:v>
                </c:pt>
                <c:pt idx="12">
                  <c:v>2.6189456149562487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A-4BA8-A29B-A79ED940DB3D}"/>
            </c:ext>
          </c:extLst>
        </c:ser>
        <c:ser>
          <c:idx val="0"/>
          <c:order val="1"/>
          <c:tx>
            <c:strRef>
              <c:f>'538-5500R-F'!$H$7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'538-5500R-F'!$A$11:$A$19</c:f>
              <c:numCache>
                <c:formatCode>General</c:formatCode>
                <c:ptCount val="9"/>
                <c:pt idx="0" formatCode="0">
                  <c:v>4640</c:v>
                </c:pt>
                <c:pt idx="1">
                  <c:v>4930</c:v>
                </c:pt>
                <c:pt idx="2">
                  <c:v>5220</c:v>
                </c:pt>
                <c:pt idx="3">
                  <c:v>5510</c:v>
                </c:pt>
                <c:pt idx="4" formatCode="0">
                  <c:v>5800</c:v>
                </c:pt>
                <c:pt idx="5">
                  <c:v>6090</c:v>
                </c:pt>
                <c:pt idx="6">
                  <c:v>6380</c:v>
                </c:pt>
                <c:pt idx="7">
                  <c:v>6670</c:v>
                </c:pt>
                <c:pt idx="8" formatCode="0">
                  <c:v>6960</c:v>
                </c:pt>
              </c:numCache>
            </c:numRef>
          </c:xVal>
          <c:yVal>
            <c:numRef>
              <c:f>'538-5500R-F'!$H$11:$H$19</c:f>
              <c:numCache>
                <c:formatCode>0.0000</c:formatCode>
                <c:ptCount val="9"/>
                <c:pt idx="0">
                  <c:v>2.3681227790153896</c:v>
                </c:pt>
                <c:pt idx="1">
                  <c:v>2.4126261265167059</c:v>
                </c:pt>
                <c:pt idx="2">
                  <c:v>2.4525304144193165</c:v>
                </c:pt>
                <c:pt idx="3">
                  <c:v>2.4877165159211123</c:v>
                </c:pt>
                <c:pt idx="4">
                  <c:v>2.5180946560131559</c:v>
                </c:pt>
                <c:pt idx="5">
                  <c:v>2.5435894303222</c:v>
                </c:pt>
                <c:pt idx="6">
                  <c:v>2.5641248239532053</c:v>
                </c:pt>
                <c:pt idx="7">
                  <c:v>2.5796092303318652</c:v>
                </c:pt>
                <c:pt idx="8">
                  <c:v>2.5899204700471148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A-4BA8-A29B-A79ED940DB3D}"/>
            </c:ext>
          </c:extLst>
        </c:ser>
        <c:ser>
          <c:idx val="2"/>
          <c:order val="2"/>
          <c:tx>
            <c:strRef>
              <c:f>'538-5500R-F'!$I$7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'538-5500R-F'!$A$11:$A$19</c:f>
              <c:numCache>
                <c:formatCode>General</c:formatCode>
                <c:ptCount val="9"/>
                <c:pt idx="0" formatCode="0">
                  <c:v>4640</c:v>
                </c:pt>
                <c:pt idx="1">
                  <c:v>4930</c:v>
                </c:pt>
                <c:pt idx="2">
                  <c:v>5220</c:v>
                </c:pt>
                <c:pt idx="3">
                  <c:v>5510</c:v>
                </c:pt>
                <c:pt idx="4" formatCode="0">
                  <c:v>5800</c:v>
                </c:pt>
                <c:pt idx="5">
                  <c:v>6090</c:v>
                </c:pt>
                <c:pt idx="6">
                  <c:v>6380</c:v>
                </c:pt>
                <c:pt idx="7">
                  <c:v>6670</c:v>
                </c:pt>
                <c:pt idx="8" formatCode="0">
                  <c:v>6960</c:v>
                </c:pt>
              </c:numCache>
            </c:numRef>
          </c:xVal>
          <c:yVal>
            <c:numRef>
              <c:f>'538-5500R-F'!$I$11:$I$19</c:f>
              <c:numCache>
                <c:formatCode>0.0000</c:formatCode>
                <c:ptCount val="9"/>
                <c:pt idx="0">
                  <c:v>2.7799702188441531</c:v>
                </c:pt>
                <c:pt idx="1">
                  <c:v>2.8322132789543941</c:v>
                </c:pt>
                <c:pt idx="2">
                  <c:v>2.8790574430139806</c:v>
                </c:pt>
                <c:pt idx="3">
                  <c:v>2.9203628665160881</c:v>
                </c:pt>
                <c:pt idx="4">
                  <c:v>2.9560241614067482</c:v>
                </c:pt>
                <c:pt idx="5">
                  <c:v>2.9859528095086696</c:v>
                </c:pt>
                <c:pt idx="6">
                  <c:v>3.0100595759450672</c:v>
                </c:pt>
                <c:pt idx="7">
                  <c:v>3.0282369225634942</c:v>
                </c:pt>
                <c:pt idx="8">
                  <c:v>3.0403414213596567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1A-4BA8-A29B-A79ED940DB3D}"/>
            </c:ext>
          </c:extLst>
        </c:ser>
        <c:ser>
          <c:idx val="3"/>
          <c:order val="3"/>
          <c:tx>
            <c:strRef>
              <c:f>'538-5500R-F'!$T$56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'538-5500R-F'!$T$60:$T$72</c:f>
              <c:numCache>
                <c:formatCode>General</c:formatCode>
                <c:ptCount val="13"/>
                <c:pt idx="0">
                  <c:v>0</c:v>
                </c:pt>
                <c:pt idx="1">
                  <c:v>2320</c:v>
                </c:pt>
                <c:pt idx="2" formatCode="0">
                  <c:v>4640</c:v>
                </c:pt>
                <c:pt idx="3">
                  <c:v>4930</c:v>
                </c:pt>
                <c:pt idx="4">
                  <c:v>5220</c:v>
                </c:pt>
                <c:pt idx="5">
                  <c:v>5510</c:v>
                </c:pt>
                <c:pt idx="6" formatCode="0">
                  <c:v>5800</c:v>
                </c:pt>
                <c:pt idx="7">
                  <c:v>6090</c:v>
                </c:pt>
                <c:pt idx="8">
                  <c:v>6380</c:v>
                </c:pt>
                <c:pt idx="9">
                  <c:v>6670</c:v>
                </c:pt>
                <c:pt idx="10" formatCode="0">
                  <c:v>6960</c:v>
                </c:pt>
                <c:pt idx="11">
                  <c:v>8230</c:v>
                </c:pt>
                <c:pt idx="12">
                  <c:v>9500</c:v>
                </c:pt>
              </c:numCache>
            </c:numRef>
          </c:xVal>
          <c:yVal>
            <c:numRef>
              <c:f>'538-5500R-F'!$V$60:$V$72</c:f>
              <c:numCache>
                <c:formatCode>0.0000</c:formatCode>
                <c:ptCount val="13"/>
                <c:pt idx="0">
                  <c:v>2.0384310000000001</c:v>
                </c:pt>
                <c:pt idx="1">
                  <c:v>2.3050228305805316</c:v>
                </c:pt>
                <c:pt idx="2">
                  <c:v>2.6350137156247619</c:v>
                </c:pt>
                <c:pt idx="3">
                  <c:v>2.6693118703606302</c:v>
                </c:pt>
                <c:pt idx="4">
                  <c:v>2.7003781408743928</c:v>
                </c:pt>
                <c:pt idx="5">
                  <c:v>2.7276704122574649</c:v>
                </c:pt>
                <c:pt idx="6">
                  <c:v>2.7506335041340164</c:v>
                </c:pt>
                <c:pt idx="7">
                  <c:v>2.7686991706609709</c:v>
                </c:pt>
                <c:pt idx="8">
                  <c:v>2.7812861005280056</c:v>
                </c:pt>
                <c:pt idx="9">
                  <c:v>2.7877999169575505</c:v>
                </c:pt>
                <c:pt idx="10">
                  <c:v>2.7876331777047887</c:v>
                </c:pt>
                <c:pt idx="11">
                  <c:v>2.6923955196375897</c:v>
                </c:pt>
                <c:pt idx="12">
                  <c:v>2.4016891946975001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1A-4BA8-A29B-A79ED940DB3D}"/>
            </c:ext>
          </c:extLst>
        </c:ser>
        <c:ser>
          <c:idx val="4"/>
          <c:order val="4"/>
          <c:tx>
            <c:strRef>
              <c:f>'538-5500R-F'!$H$56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'538-5500R-F'!$I$60:$I$67</c:f>
              <c:numCache>
                <c:formatCode>0.00</c:formatCode>
                <c:ptCount val="8"/>
                <c:pt idx="0">
                  <c:v>47.18</c:v>
                </c:pt>
                <c:pt idx="1">
                  <c:v>4211.63</c:v>
                </c:pt>
                <c:pt idx="2">
                  <c:v>4833.17</c:v>
                </c:pt>
                <c:pt idx="3">
                  <c:v>5392.96</c:v>
                </c:pt>
                <c:pt idx="4">
                  <c:v>6080.62</c:v>
                </c:pt>
                <c:pt idx="5">
                  <c:v>6667.58</c:v>
                </c:pt>
                <c:pt idx="6">
                  <c:v>7248.27</c:v>
                </c:pt>
                <c:pt idx="7">
                  <c:v>9262.5400000000009</c:v>
                </c:pt>
              </c:numCache>
            </c:numRef>
          </c:xVal>
          <c:yVal>
            <c:numRef>
              <c:f>'538-5500R-F'!$O$60:$O$67</c:f>
              <c:numCache>
                <c:formatCode>0.00</c:formatCode>
                <c:ptCount val="8"/>
                <c:pt idx="0">
                  <c:v>2.0420000000000003</c:v>
                </c:pt>
                <c:pt idx="1">
                  <c:v>2.5684583333333335</c:v>
                </c:pt>
                <c:pt idx="2">
                  <c:v>2.6807499999999997</c:v>
                </c:pt>
                <c:pt idx="3">
                  <c:v>2.7115416666666667</c:v>
                </c:pt>
                <c:pt idx="4">
                  <c:v>2.7603333333333335</c:v>
                </c:pt>
                <c:pt idx="5">
                  <c:v>2.7822916666666671</c:v>
                </c:pt>
                <c:pt idx="6">
                  <c:v>2.7882500000000001</c:v>
                </c:pt>
                <c:pt idx="7">
                  <c:v>2.4729583333333331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1A-4BA8-A29B-A79ED940DB3D}"/>
            </c:ext>
          </c:extLst>
        </c:ser>
        <c:ser>
          <c:idx val="5"/>
          <c:order val="5"/>
          <c:tx>
            <c:strRef>
              <c:f>'538-5500R-F'!$J$8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'538-5500R-F'!$J$9:$J$10</c:f>
              <c:numCache>
                <c:formatCode>0</c:formatCode>
                <c:ptCount val="2"/>
                <c:pt idx="0">
                  <c:v>4640</c:v>
                </c:pt>
                <c:pt idx="1">
                  <c:v>4640</c:v>
                </c:pt>
              </c:numCache>
            </c:numRef>
          </c:xVal>
          <c:yVal>
            <c:numRef>
              <c:f>'538-5500R-F'!$L$9:$L$10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1A-4BA8-A29B-A79ED940DB3D}"/>
            </c:ext>
          </c:extLst>
        </c:ser>
        <c:ser>
          <c:idx val="6"/>
          <c:order val="6"/>
          <c:tx>
            <c:strRef>
              <c:f>'538-5500R-F'!$J$11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'538-5500R-F'!$J$12:$J$13</c:f>
              <c:numCache>
                <c:formatCode>0</c:formatCode>
                <c:ptCount val="2"/>
                <c:pt idx="0">
                  <c:v>5800</c:v>
                </c:pt>
                <c:pt idx="1">
                  <c:v>5800</c:v>
                </c:pt>
              </c:numCache>
            </c:numRef>
          </c:xVal>
          <c:yVal>
            <c:numRef>
              <c:f>'538-5500R-F'!$L$12:$L$13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1A-4BA8-A29B-A79ED940DB3D}"/>
            </c:ext>
          </c:extLst>
        </c:ser>
        <c:ser>
          <c:idx val="7"/>
          <c:order val="7"/>
          <c:tx>
            <c:strRef>
              <c:f>'538-5500R-F'!$J$14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'538-5500R-F'!$J$15:$J$16</c:f>
              <c:numCache>
                <c:formatCode>0</c:formatCode>
                <c:ptCount val="2"/>
                <c:pt idx="0">
                  <c:v>6960</c:v>
                </c:pt>
                <c:pt idx="1">
                  <c:v>6960</c:v>
                </c:pt>
              </c:numCache>
            </c:numRef>
          </c:xVal>
          <c:yVal>
            <c:numRef>
              <c:f>'538-5500R-F'!$L$15:$L$16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1A-4BA8-A29B-A79ED940DB3D}"/>
            </c:ext>
          </c:extLst>
        </c:ser>
        <c:ser>
          <c:idx val="8"/>
          <c:order val="8"/>
          <c:tx>
            <c:strRef>
              <c:f>'538-5500R-F'!$AA$5:$AD$5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'538-5500R-F'!$AA$9:$AA$21</c:f>
              <c:numCache>
                <c:formatCode>General</c:formatCode>
                <c:ptCount val="13"/>
                <c:pt idx="0">
                  <c:v>0</c:v>
                </c:pt>
                <c:pt idx="1">
                  <c:v>2320</c:v>
                </c:pt>
                <c:pt idx="2">
                  <c:v>4640</c:v>
                </c:pt>
                <c:pt idx="3">
                  <c:v>4930</c:v>
                </c:pt>
                <c:pt idx="4">
                  <c:v>5220</c:v>
                </c:pt>
                <c:pt idx="5">
                  <c:v>5510</c:v>
                </c:pt>
                <c:pt idx="6">
                  <c:v>5800</c:v>
                </c:pt>
                <c:pt idx="7">
                  <c:v>6090</c:v>
                </c:pt>
                <c:pt idx="8">
                  <c:v>6380</c:v>
                </c:pt>
                <c:pt idx="9">
                  <c:v>6670</c:v>
                </c:pt>
                <c:pt idx="10">
                  <c:v>6960</c:v>
                </c:pt>
                <c:pt idx="11">
                  <c:v>8230</c:v>
                </c:pt>
                <c:pt idx="12">
                  <c:v>9500</c:v>
                </c:pt>
              </c:numCache>
            </c:numRef>
          </c:xVal>
          <c:yVal>
            <c:numRef>
              <c:f>'538-5500R-F'!$AC$9:$AC$21</c:f>
              <c:numCache>
                <c:formatCode>0.0000</c:formatCode>
                <c:ptCount val="13"/>
                <c:pt idx="0">
                  <c:v>2.1798899999999999</c:v>
                </c:pt>
                <c:pt idx="1">
                  <c:v>2.4301173397353795</c:v>
                </c:pt>
                <c:pt idx="2">
                  <c:v>2.8330714498432399</c:v>
                </c:pt>
                <c:pt idx="3">
                  <c:v>2.8791829995083007</c:v>
                </c:pt>
                <c:pt idx="4">
                  <c:v>2.9205977666345966</c:v>
                </c:pt>
                <c:pt idx="5">
                  <c:v>2.9562546896960651</c:v>
                </c:pt>
                <c:pt idx="6">
                  <c:v>2.9852061349403831</c:v>
                </c:pt>
                <c:pt idx="7">
                  <c:v>3.006655441956962</c:v>
                </c:pt>
                <c:pt idx="8">
                  <c:v>3.0199944692449368</c:v>
                </c:pt>
                <c:pt idx="9">
                  <c:v>3.0248411397811688</c:v>
                </c:pt>
                <c:pt idx="10">
                  <c:v>3.021076986588239</c:v>
                </c:pt>
                <c:pt idx="11">
                  <c:v>2.9152880126625051</c:v>
                </c:pt>
                <c:pt idx="12">
                  <c:v>2.7638880025843786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1A-4BA8-A29B-A79ED940D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23302905047986966"/>
          <c:w val="0.22394875549398618"/>
          <c:h val="0.61526112184405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6.8510960243701735E-3"/>
                  <c:y val="-0.14414169392214643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"A" 26.2mm'!$I$60:$I$72</c:f>
              <c:numCache>
                <c:formatCode>0.00</c:formatCode>
                <c:ptCount val="13"/>
                <c:pt idx="0">
                  <c:v>39.659999999999997</c:v>
                </c:pt>
                <c:pt idx="1">
                  <c:v>392.94</c:v>
                </c:pt>
                <c:pt idx="2">
                  <c:v>767.93</c:v>
                </c:pt>
                <c:pt idx="3">
                  <c:v>917.17</c:v>
                </c:pt>
                <c:pt idx="4">
                  <c:v>1072.0999999999999</c:v>
                </c:pt>
                <c:pt idx="5">
                  <c:v>1233.99</c:v>
                </c:pt>
                <c:pt idx="6">
                  <c:v>1364.87</c:v>
                </c:pt>
                <c:pt idx="7">
                  <c:v>1500.46</c:v>
                </c:pt>
                <c:pt idx="8">
                  <c:v>1649.37</c:v>
                </c:pt>
                <c:pt idx="9">
                  <c:v>1768.73</c:v>
                </c:pt>
                <c:pt idx="10">
                  <c:v>2010.44</c:v>
                </c:pt>
              </c:numCache>
            </c:numRef>
          </c:xVal>
          <c:yVal>
            <c:numRef>
              <c:f>'RC12 "A" 26.2mm'!$O$60:$O$72</c:f>
              <c:numCache>
                <c:formatCode>0.000</c:formatCode>
                <c:ptCount val="13"/>
                <c:pt idx="0">
                  <c:v>0.25900000000000001</c:v>
                </c:pt>
                <c:pt idx="1">
                  <c:v>0.312</c:v>
                </c:pt>
                <c:pt idx="2">
                  <c:v>0.38400000000000001</c:v>
                </c:pt>
                <c:pt idx="3">
                  <c:v>0.41799999999999998</c:v>
                </c:pt>
                <c:pt idx="4">
                  <c:v>0.441</c:v>
                </c:pt>
                <c:pt idx="5">
                  <c:v>0.44500000000000001</c:v>
                </c:pt>
                <c:pt idx="6">
                  <c:v>0.436</c:v>
                </c:pt>
                <c:pt idx="7">
                  <c:v>0.42399999999999999</c:v>
                </c:pt>
                <c:pt idx="8">
                  <c:v>0.45200000000000001</c:v>
                </c:pt>
                <c:pt idx="9">
                  <c:v>0.47099999999999997</c:v>
                </c:pt>
                <c:pt idx="10">
                  <c:v>0.502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41-4A48-8A4A-30F109BEE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TDH test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1"/>
            <c:dispEq val="1"/>
            <c:trendlineLbl>
              <c:layout>
                <c:manualLayout>
                  <c:x val="3.8349906312476569E-2"/>
                  <c:y val="-0.45293290261157421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'538-5500R-F'!$I$60:$I$72</c:f>
              <c:numCache>
                <c:formatCode>0.00</c:formatCode>
                <c:ptCount val="13"/>
                <c:pt idx="0">
                  <c:v>47.18</c:v>
                </c:pt>
                <c:pt idx="1">
                  <c:v>4211.63</c:v>
                </c:pt>
                <c:pt idx="2">
                  <c:v>4833.17</c:v>
                </c:pt>
                <c:pt idx="3">
                  <c:v>5392.96</c:v>
                </c:pt>
                <c:pt idx="4">
                  <c:v>6080.62</c:v>
                </c:pt>
                <c:pt idx="5">
                  <c:v>6667.58</c:v>
                </c:pt>
                <c:pt idx="6">
                  <c:v>7248.27</c:v>
                </c:pt>
                <c:pt idx="7">
                  <c:v>9262.5400000000009</c:v>
                </c:pt>
              </c:numCache>
            </c:numRef>
          </c:xVal>
          <c:yVal>
            <c:numRef>
              <c:f>'538-5500R-F'!$L$60:$L$72</c:f>
              <c:numCache>
                <c:formatCode>0.00</c:formatCode>
                <c:ptCount val="13"/>
                <c:pt idx="0">
                  <c:v>64.826666666666668</c:v>
                </c:pt>
                <c:pt idx="1">
                  <c:v>54.774166666666666</c:v>
                </c:pt>
                <c:pt idx="2">
                  <c:v>52.308333333333337</c:v>
                </c:pt>
                <c:pt idx="3">
                  <c:v>48.64041666666666</c:v>
                </c:pt>
                <c:pt idx="4">
                  <c:v>43.911249999999995</c:v>
                </c:pt>
                <c:pt idx="5">
                  <c:v>38.187083333333334</c:v>
                </c:pt>
                <c:pt idx="6">
                  <c:v>32.101666666666667</c:v>
                </c:pt>
                <c:pt idx="7">
                  <c:v>7.0491666666666672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A4-4892-BB18-E65FFB7C6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4"/>
            <c:dispRSqr val="1"/>
            <c:dispEq val="1"/>
            <c:trendlineLbl>
              <c:layout>
                <c:manualLayout>
                  <c:x val="7.2739596534602047E-2"/>
                  <c:y val="-0.13134570700163245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'538-5500R-F'!$I$60:$I$72</c:f>
              <c:numCache>
                <c:formatCode>0.00</c:formatCode>
                <c:ptCount val="13"/>
                <c:pt idx="0">
                  <c:v>47.18</c:v>
                </c:pt>
                <c:pt idx="1">
                  <c:v>4211.63</c:v>
                </c:pt>
                <c:pt idx="2">
                  <c:v>4833.17</c:v>
                </c:pt>
                <c:pt idx="3">
                  <c:v>5392.96</c:v>
                </c:pt>
                <c:pt idx="4">
                  <c:v>6080.62</c:v>
                </c:pt>
                <c:pt idx="5">
                  <c:v>6667.58</c:v>
                </c:pt>
                <c:pt idx="6">
                  <c:v>7248.27</c:v>
                </c:pt>
                <c:pt idx="7">
                  <c:v>9262.5400000000009</c:v>
                </c:pt>
              </c:numCache>
            </c:numRef>
          </c:xVal>
          <c:yVal>
            <c:numRef>
              <c:f>'538-5500R-F'!$O$60:$O$72</c:f>
              <c:numCache>
                <c:formatCode>0.00</c:formatCode>
                <c:ptCount val="13"/>
                <c:pt idx="0">
                  <c:v>2.0420000000000003</c:v>
                </c:pt>
                <c:pt idx="1">
                  <c:v>2.5684583333333335</c:v>
                </c:pt>
                <c:pt idx="2">
                  <c:v>2.6807499999999997</c:v>
                </c:pt>
                <c:pt idx="3">
                  <c:v>2.7115416666666667</c:v>
                </c:pt>
                <c:pt idx="4">
                  <c:v>2.7603333333333335</c:v>
                </c:pt>
                <c:pt idx="5">
                  <c:v>2.7822916666666671</c:v>
                </c:pt>
                <c:pt idx="6">
                  <c:v>2.7882500000000001</c:v>
                </c:pt>
                <c:pt idx="7">
                  <c:v>2.4729583333333331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5A-48AD-9010-489E4DE3F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EFFICIENCY - OD 538-5500R-F</a:t>
            </a:r>
            <a:endParaRPr lang="en-CA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'538-5500R-F'!$T$56:$W$56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75DBFF"/>
              </a:solidFill>
              <a:prstDash val="solid"/>
            </a:ln>
          </c:spPr>
          <c:marker>
            <c:symbol val="none"/>
          </c:marker>
          <c:xVal>
            <c:numRef>
              <c:f>'538-5500R-F'!$T$62:$T$70</c:f>
              <c:numCache>
                <c:formatCode>General</c:formatCode>
                <c:ptCount val="9"/>
                <c:pt idx="0" formatCode="0">
                  <c:v>4640</c:v>
                </c:pt>
                <c:pt idx="1">
                  <c:v>4930</c:v>
                </c:pt>
                <c:pt idx="2">
                  <c:v>5220</c:v>
                </c:pt>
                <c:pt idx="3">
                  <c:v>5510</c:v>
                </c:pt>
                <c:pt idx="4" formatCode="0">
                  <c:v>5800</c:v>
                </c:pt>
                <c:pt idx="5">
                  <c:v>6090</c:v>
                </c:pt>
                <c:pt idx="6">
                  <c:v>6380</c:v>
                </c:pt>
                <c:pt idx="7">
                  <c:v>6670</c:v>
                </c:pt>
                <c:pt idx="8" formatCode="0">
                  <c:v>6960</c:v>
                </c:pt>
              </c:numCache>
            </c:numRef>
          </c:xVal>
          <c:yVal>
            <c:numRef>
              <c:f>'538-5500R-F'!$W$62:$W$70</c:f>
              <c:numCache>
                <c:formatCode>0.0</c:formatCode>
                <c:ptCount val="9"/>
                <c:pt idx="0">
                  <c:v>68.830482530615001</c:v>
                </c:pt>
                <c:pt idx="1">
                  <c:v>70.242699177440599</c:v>
                </c:pt>
                <c:pt idx="2">
                  <c:v>71.160599986411043</c:v>
                </c:pt>
                <c:pt idx="3">
                  <c:v>71.556068021160911</c:v>
                </c:pt>
                <c:pt idx="4">
                  <c:v>71.40256862593364</c:v>
                </c:pt>
                <c:pt idx="5">
                  <c:v>70.675201891503221</c:v>
                </c:pt>
                <c:pt idx="6">
                  <c:v>69.350677393156019</c:v>
                </c:pt>
                <c:pt idx="7">
                  <c:v>67.407222067455322</c:v>
                </c:pt>
                <c:pt idx="8">
                  <c:v>64.824428043367519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D-42A3-B6F9-B01CD3C437FF}"/>
            </c:ext>
          </c:extLst>
        </c:ser>
        <c:ser>
          <c:idx val="1"/>
          <c:order val="1"/>
          <c:tx>
            <c:strRef>
              <c:f>'538-5500R-F'!$X$57:$AB$57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'538-5500R-F'!$T$66</c:f>
              <c:numCache>
                <c:formatCode>0</c:formatCode>
                <c:ptCount val="1"/>
                <c:pt idx="0">
                  <c:v>5800</c:v>
                </c:pt>
              </c:numCache>
            </c:numRef>
          </c:xVal>
          <c:yVal>
            <c:numRef>
              <c:f>'538-5500R-F'!$AB$66</c:f>
              <c:numCache>
                <c:formatCode>0.0</c:formatCode>
                <c:ptCount val="1"/>
                <c:pt idx="0">
                  <c:v>64.605614482793527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D-42A3-B6F9-B01CD3C437FF}"/>
            </c:ext>
          </c:extLst>
        </c:ser>
        <c:ser>
          <c:idx val="2"/>
          <c:order val="2"/>
          <c:tx>
            <c:strRef>
              <c:f>'538-5500R-F'!$Q$56:$S$56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'538-5500R-F'!$T$66</c:f>
              <c:numCache>
                <c:formatCode>0</c:formatCode>
                <c:ptCount val="1"/>
                <c:pt idx="0">
                  <c:v>5800</c:v>
                </c:pt>
              </c:numCache>
            </c:numRef>
          </c:xVal>
          <c:yVal>
            <c:numRef>
              <c:f>'538-5500R-F'!$I$3</c:f>
              <c:numCache>
                <c:formatCode>0.0</c:formatCode>
                <c:ptCount val="1"/>
                <c:pt idx="0">
                  <c:v>71.784016091992811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D-42A3-B6F9-B01CD3C437FF}"/>
            </c:ext>
          </c:extLst>
        </c:ser>
        <c:ser>
          <c:idx val="3"/>
          <c:order val="3"/>
          <c:tx>
            <c:strRef>
              <c:f>'538-5500R-F'!$J$8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'538-5500R-F'!$J$9:$J$10</c:f>
              <c:numCache>
                <c:formatCode>0</c:formatCode>
                <c:ptCount val="2"/>
                <c:pt idx="0">
                  <c:v>4640</c:v>
                </c:pt>
                <c:pt idx="1">
                  <c:v>4640</c:v>
                </c:pt>
              </c:numCache>
            </c:numRef>
          </c:xVal>
          <c:yVal>
            <c:numRef>
              <c:f>'538-5500R-F'!$M$9:$M$10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D-42A3-B6F9-B01CD3C437FF}"/>
            </c:ext>
          </c:extLst>
        </c:ser>
        <c:ser>
          <c:idx val="5"/>
          <c:order val="4"/>
          <c:tx>
            <c:strRef>
              <c:f>'538-5500R-F'!$J$14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'538-5500R-F'!$J$15:$J$16</c:f>
              <c:numCache>
                <c:formatCode>0</c:formatCode>
                <c:ptCount val="2"/>
                <c:pt idx="0">
                  <c:v>6960</c:v>
                </c:pt>
                <c:pt idx="1">
                  <c:v>6960</c:v>
                </c:pt>
              </c:numCache>
            </c:numRef>
          </c:xVal>
          <c:yVal>
            <c:numRef>
              <c:f>'538-5500R-F'!$M$15:$M$16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ED-42A3-B6F9-B01CD3C437FF}"/>
            </c:ext>
          </c:extLst>
        </c:ser>
        <c:ser>
          <c:idx val="4"/>
          <c:order val="5"/>
          <c:tx>
            <c:strRef>
              <c:f>'538-5500R-F'!$J$11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'538-5500R-F'!$J$12:$J$13</c:f>
              <c:numCache>
                <c:formatCode>0</c:formatCode>
                <c:ptCount val="2"/>
                <c:pt idx="0">
                  <c:v>5800</c:v>
                </c:pt>
                <c:pt idx="1">
                  <c:v>5800</c:v>
                </c:pt>
              </c:numCache>
            </c:numRef>
          </c:xVal>
          <c:yVal>
            <c:numRef>
              <c:f>'538-5500R-F'!$M$12:$M$13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ED-42A3-B6F9-B01CD3C437FF}"/>
            </c:ext>
          </c:extLst>
        </c:ser>
        <c:ser>
          <c:idx val="6"/>
          <c:order val="6"/>
          <c:tx>
            <c:strRef>
              <c:f>'538-5500R-F'!$AA$5:$AD$5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'538-5500R-F'!$AA$9:$AA$21</c:f>
              <c:numCache>
                <c:formatCode>General</c:formatCode>
                <c:ptCount val="13"/>
                <c:pt idx="0">
                  <c:v>0</c:v>
                </c:pt>
                <c:pt idx="1">
                  <c:v>2320</c:v>
                </c:pt>
                <c:pt idx="2">
                  <c:v>4640</c:v>
                </c:pt>
                <c:pt idx="3">
                  <c:v>4930</c:v>
                </c:pt>
                <c:pt idx="4">
                  <c:v>5220</c:v>
                </c:pt>
                <c:pt idx="5">
                  <c:v>5510</c:v>
                </c:pt>
                <c:pt idx="6">
                  <c:v>5800</c:v>
                </c:pt>
                <c:pt idx="7">
                  <c:v>6090</c:v>
                </c:pt>
                <c:pt idx="8">
                  <c:v>6380</c:v>
                </c:pt>
                <c:pt idx="9">
                  <c:v>6670</c:v>
                </c:pt>
                <c:pt idx="10">
                  <c:v>6960</c:v>
                </c:pt>
                <c:pt idx="11">
                  <c:v>8230</c:v>
                </c:pt>
                <c:pt idx="12">
                  <c:v>9500</c:v>
                </c:pt>
              </c:numCache>
            </c:numRef>
          </c:xVal>
          <c:yVal>
            <c:numRef>
              <c:f>'538-5500R-F'!$AD$9:$AD$21</c:f>
              <c:numCache>
                <c:formatCode>0.00</c:formatCode>
                <c:ptCount val="13"/>
                <c:pt idx="0">
                  <c:v>-0.73128870000000001</c:v>
                </c:pt>
                <c:pt idx="1">
                  <c:v>42.886432220812182</c:v>
                </c:pt>
                <c:pt idx="2">
                  <c:v>61.21417008014982</c:v>
                </c:pt>
                <c:pt idx="3">
                  <c:v>62.379671997490767</c:v>
                </c:pt>
                <c:pt idx="4">
                  <c:v>63.263323601671829</c:v>
                </c:pt>
                <c:pt idx="5">
                  <c:v>63.836024956626623</c:v>
                </c:pt>
                <c:pt idx="6">
                  <c:v>64.061991084199889</c:v>
                </c:pt>
                <c:pt idx="7">
                  <c:v>63.898932569810825</c:v>
                </c:pt>
                <c:pt idx="8">
                  <c:v>63.298236168116524</c:v>
                </c:pt>
                <c:pt idx="9">
                  <c:v>62.20514540867557</c:v>
                </c:pt>
                <c:pt idx="10">
                  <c:v>60.558941201611546</c:v>
                </c:pt>
                <c:pt idx="11">
                  <c:v>45.052311386304424</c:v>
                </c:pt>
                <c:pt idx="12">
                  <c:v>10.7180466087407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ED-42A3-B6F9-B01CD3C43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1813200904005026"/>
          <c:h val="0.326662017778910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TDH - OD 400-KOMP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'400-KOMP NPSH'!$A$5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'400-KOMP NPSH'!$A$9:$A$21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'400-KOMP NPSH'!$B$9:$B$21</c:f>
              <c:numCache>
                <c:formatCode>0.0000</c:formatCode>
                <c:ptCount val="13"/>
                <c:pt idx="0">
                  <c:v>54.3</c:v>
                </c:pt>
                <c:pt idx="1">
                  <c:v>53.22123634755566</c:v>
                </c:pt>
                <c:pt idx="2">
                  <c:v>52.245569806781255</c:v>
                </c:pt>
                <c:pt idx="3">
                  <c:v>46.598216124680064</c:v>
                </c:pt>
                <c:pt idx="4">
                  <c:v>40.537465397409534</c:v>
                </c:pt>
                <c:pt idx="5">
                  <c:v>33.399631371634094</c:v>
                </c:pt>
                <c:pt idx="6">
                  <c:v>26.279702160517104</c:v>
                </c:pt>
                <c:pt idx="7">
                  <c:v>23.055908562691634</c:v>
                </c:pt>
                <c:pt idx="8">
                  <c:v>19.756738027207419</c:v>
                </c:pt>
                <c:pt idx="9">
                  <c:v>15.946139712867335</c:v>
                </c:pt>
                <c:pt idx="10">
                  <c:v>10.878983427000009</c:v>
                </c:pt>
                <c:pt idx="11">
                  <c:v>6.8777239709687876</c:v>
                </c:pt>
                <c:pt idx="12">
                  <c:v>1.7660538239999255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C-4DE9-B66A-110722B69110}"/>
            </c:ext>
          </c:extLst>
        </c:ser>
        <c:ser>
          <c:idx val="1"/>
          <c:order val="1"/>
          <c:tx>
            <c:strRef>
              <c:f>'400-KOMP NPSH'!$D$6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'400-KOMP NPSH'!$A$11:$A$19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'400-KOMP NPSH'!$E$11:$E$19</c:f>
              <c:numCache>
                <c:formatCode>0.0000</c:formatCode>
                <c:ptCount val="9"/>
                <c:pt idx="0">
                  <c:v>54.956140493918511</c:v>
                </c:pt>
                <c:pt idx="1">
                  <c:v>49.294480775551101</c:v>
                </c:pt>
                <c:pt idx="2">
                  <c:v>43.360902274433364</c:v>
                </c:pt>
                <c:pt idx="3">
                  <c:v>36.332462867010086</c:v>
                </c:pt>
                <c:pt idx="4">
                  <c:v>29.142190385995498</c:v>
                </c:pt>
                <c:pt idx="5">
                  <c:v>25.883351678633328</c:v>
                </c:pt>
                <c:pt idx="6">
                  <c:v>22.670211021019703</c:v>
                </c:pt>
                <c:pt idx="7">
                  <c:v>19.232937014906632</c:v>
                </c:pt>
                <c:pt idx="8">
                  <c:v>15.06778191805973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C-4DE9-B66A-110722B69110}"/>
            </c:ext>
          </c:extLst>
        </c:ser>
        <c:ser>
          <c:idx val="2"/>
          <c:order val="2"/>
          <c:tx>
            <c:strRef>
              <c:f>'400-KOMP NPSH'!$F$6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'400-KOMP NPSH'!$A$11:$A$19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'400-KOMP NPSH'!$G$11:$G$19</c:f>
              <c:numCache>
                <c:formatCode>0.0000</c:formatCode>
                <c:ptCount val="9"/>
                <c:pt idx="0">
                  <c:v>49.545116731677162</c:v>
                </c:pt>
                <c:pt idx="1">
                  <c:v>43.933824081786462</c:v>
                </c:pt>
                <c:pt idx="2">
                  <c:v>37.774785601973889</c:v>
                </c:pt>
                <c:pt idx="3">
                  <c:v>30.589236341325019</c:v>
                </c:pt>
                <c:pt idx="4">
                  <c:v>23.589097694949103</c:v>
                </c:pt>
                <c:pt idx="5">
                  <c:v>20.373858005058374</c:v>
                </c:pt>
                <c:pt idx="6">
                  <c:v>16.886386393688504</c:v>
                </c:pt>
                <c:pt idx="7">
                  <c:v>12.477690658235751</c:v>
                </c:pt>
                <c:pt idx="8">
                  <c:v>6.100804721708883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C-4DE9-B66A-110722B69110}"/>
            </c:ext>
          </c:extLst>
        </c:ser>
        <c:ser>
          <c:idx val="3"/>
          <c:order val="3"/>
          <c:tx>
            <c:strRef>
              <c:f>'400-KOMP NPSH'!$T$56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'400-KOMP NPSH'!$T$60:$T$72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'400-KOMP NPSH'!$U$60:$U$72</c:f>
              <c:numCache>
                <c:formatCode>0.0000</c:formatCode>
                <c:ptCount val="13"/>
                <c:pt idx="0">
                  <c:v>28.496189999999999</c:v>
                </c:pt>
                <c:pt idx="1">
                  <c:v>28.555774061718751</c:v>
                </c:pt>
                <c:pt idx="2">
                  <c:v>27.281366912499998</c:v>
                </c:pt>
                <c:pt idx="3">
                  <c:v>14.504003909485263</c:v>
                </c:pt>
                <c:pt idx="4">
                  <c:v>4.3306062644347776</c:v>
                </c:pt>
                <c:pt idx="5">
                  <c:v>20.730511675392336</c:v>
                </c:pt>
                <c:pt idx="6">
                  <c:v>405.81232695091239</c:v>
                </c:pt>
                <c:pt idx="7">
                  <c:v>985.47256243340416</c:v>
                </c:pt>
                <c:pt idx="8">
                  <c:v>2060.2226455121181</c:v>
                </c:pt>
                <c:pt idx="9">
                  <c:v>3885.1062652761102</c:v>
                </c:pt>
                <c:pt idx="10">
                  <c:v>6788.9785582000004</c:v>
                </c:pt>
                <c:pt idx="11">
                  <c:v>9163.4480048624973</c:v>
                </c:pt>
                <c:pt idx="12">
                  <c:v>12150.509432400002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C-4DE9-B66A-110722B69110}"/>
            </c:ext>
          </c:extLst>
        </c:ser>
        <c:ser>
          <c:idx val="4"/>
          <c:order val="4"/>
          <c:tx>
            <c:strRef>
              <c:f>'400-KOMP NPSH'!$H$56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'400-KOMP NPSH'!$I$60:$I$67</c:f>
              <c:numCache>
                <c:formatCode>0.00</c:formatCode>
                <c:ptCount val="8"/>
                <c:pt idx="0">
                  <c:v>19.05</c:v>
                </c:pt>
                <c:pt idx="1">
                  <c:v>1772.89</c:v>
                </c:pt>
                <c:pt idx="2">
                  <c:v>2215.36</c:v>
                </c:pt>
                <c:pt idx="3">
                  <c:v>2666.79</c:v>
                </c:pt>
                <c:pt idx="4">
                  <c:v>2895.51</c:v>
                </c:pt>
                <c:pt idx="5">
                  <c:v>3307.81</c:v>
                </c:pt>
                <c:pt idx="6">
                  <c:v>3700.02</c:v>
                </c:pt>
                <c:pt idx="7">
                  <c:v>4442.0600000000004</c:v>
                </c:pt>
              </c:numCache>
            </c:numRef>
          </c:xVal>
          <c:yVal>
            <c:numRef>
              <c:f>'400-KOMP NPSH'!$L$60:$L$67</c:f>
              <c:numCache>
                <c:formatCode>0.00</c:formatCode>
                <c:ptCount val="8"/>
                <c:pt idx="0">
                  <c:v>28.564285714285717</c:v>
                </c:pt>
                <c:pt idx="1">
                  <c:v>17.007142857142856</c:v>
                </c:pt>
                <c:pt idx="2">
                  <c:v>14.672857142857143</c:v>
                </c:pt>
                <c:pt idx="3">
                  <c:v>13.064285714285715</c:v>
                </c:pt>
                <c:pt idx="4">
                  <c:v>12.050952380952381</c:v>
                </c:pt>
                <c:pt idx="5">
                  <c:v>9.836666666666666</c:v>
                </c:pt>
                <c:pt idx="6">
                  <c:v>7.2676190476190481</c:v>
                </c:pt>
                <c:pt idx="7">
                  <c:v>1.177142857142857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DC-4DE9-B66A-110722B69110}"/>
            </c:ext>
          </c:extLst>
        </c:ser>
        <c:ser>
          <c:idx val="5"/>
          <c:order val="5"/>
          <c:tx>
            <c:strRef>
              <c:f>'400-KOMP NPSH'!$J$8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 NPSH'!$J$9:$J$10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'400-KOMP NPSH'!$K$9:$K$10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DC-4DE9-B66A-110722B69110}"/>
            </c:ext>
          </c:extLst>
        </c:ser>
        <c:ser>
          <c:idx val="6"/>
          <c:order val="6"/>
          <c:tx>
            <c:strRef>
              <c:f>'400-KOMP NPSH'!$J$11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 NPSH'!$J$12:$J$13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'400-KOMP NPSH'!$K$12:$K$13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DC-4DE9-B66A-110722B69110}"/>
            </c:ext>
          </c:extLst>
        </c:ser>
        <c:ser>
          <c:idx val="7"/>
          <c:order val="7"/>
          <c:tx>
            <c:strRef>
              <c:f>'400-KOMP NPSH'!$J$14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 NPSH'!$J$15:$J$16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'400-KOMP NPSH'!$K$15:$K$16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DC-4DE9-B66A-110722B69110}"/>
            </c:ext>
          </c:extLst>
        </c:ser>
        <c:ser>
          <c:idx val="8"/>
          <c:order val="8"/>
          <c:tx>
            <c:strRef>
              <c:f>'400-KOMP NPSH'!$AA$5:$AD$5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'400-KOMP NPSH'!$AA$9:$AA$18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'400-KOMP NPSH'!$AB$9:$AB$18</c:f>
              <c:numCache>
                <c:formatCode>0.0000</c:formatCode>
                <c:ptCount val="10"/>
                <c:pt idx="0">
                  <c:v>55.159590000000001</c:v>
                </c:pt>
                <c:pt idx="1">
                  <c:v>55.59955494152539</c:v>
                </c:pt>
                <c:pt idx="2">
                  <c:v>55.549834901312501</c:v>
                </c:pt>
                <c:pt idx="3">
                  <c:v>47.073785384975046</c:v>
                </c:pt>
                <c:pt idx="4">
                  <c:v>35.710594502449737</c:v>
                </c:pt>
                <c:pt idx="5">
                  <c:v>27.815463777769857</c:v>
                </c:pt>
                <c:pt idx="6">
                  <c:v>21.108611150597142</c:v>
                </c:pt>
                <c:pt idx="7">
                  <c:v>16.425653627887826</c:v>
                </c:pt>
                <c:pt idx="8">
                  <c:v>9.663166424328665</c:v>
                </c:pt>
                <c:pt idx="9">
                  <c:v>9.4328034895823976E-2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DC-4DE9-B66A-110722B69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  <c:max val="1200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8.5043999923173158E-2"/>
          <c:w val="0.29811987307556703"/>
          <c:h val="0.81961322984669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BRAKE POWER - OD 400-KOMP</a:t>
            </a:r>
          </a:p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'400-KOMP NPSH'!$A$5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'400-KOMP NPSH'!$A$9:$A$21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'400-KOMP NPSH'!$C$9:$C$21</c:f>
              <c:numCache>
                <c:formatCode>0.0000</c:formatCode>
                <c:ptCount val="13"/>
                <c:pt idx="0">
                  <c:v>2.8245</c:v>
                </c:pt>
                <c:pt idx="1">
                  <c:v>2.767020703856836</c:v>
                </c:pt>
                <c:pt idx="2">
                  <c:v>2.7212485692937505</c:v>
                </c:pt>
                <c:pt idx="3">
                  <c:v>2.5884125314547242</c:v>
                </c:pt>
                <c:pt idx="4">
                  <c:v>2.5398848447232392</c:v>
                </c:pt>
                <c:pt idx="5">
                  <c:v>2.4580554235397249</c:v>
                </c:pt>
                <c:pt idx="6">
                  <c:v>2.3771875742807049</c:v>
                </c:pt>
                <c:pt idx="7">
                  <c:v>2.3464532565127567</c:v>
                </c:pt>
                <c:pt idx="8">
                  <c:v>2.308011977164421</c:v>
                </c:pt>
                <c:pt idx="9">
                  <c:v>2.2339832894354554</c:v>
                </c:pt>
                <c:pt idx="10">
                  <c:v>2.0764822614000007</c:v>
                </c:pt>
                <c:pt idx="11">
                  <c:v>1.9168084970062509</c:v>
                </c:pt>
                <c:pt idx="12">
                  <c:v>1.6844520287999956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CA-49CA-AA08-F35A2BACC59F}"/>
            </c:ext>
          </c:extLst>
        </c:ser>
        <c:ser>
          <c:idx val="0"/>
          <c:order val="1"/>
          <c:tx>
            <c:strRef>
              <c:f>'400-KOMP NPSH'!$H$7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'400-KOMP NPSH'!$A$11:$A$19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'400-KOMP NPSH'!$H$11:$H$19</c:f>
              <c:numCache>
                <c:formatCode>0.0000</c:formatCode>
                <c:ptCount val="9"/>
                <c:pt idx="0">
                  <c:v>2.5035486837502505</c:v>
                </c:pt>
                <c:pt idx="1">
                  <c:v>2.3813395289383466</c:v>
                </c:pt>
                <c:pt idx="2">
                  <c:v>2.33669405714538</c:v>
                </c:pt>
                <c:pt idx="3">
                  <c:v>2.2614109896565471</c:v>
                </c:pt>
                <c:pt idx="4">
                  <c:v>2.1870125683382486</c:v>
                </c:pt>
                <c:pt idx="5">
                  <c:v>2.1587369959917364</c:v>
                </c:pt>
                <c:pt idx="6">
                  <c:v>2.1233710189912673</c:v>
                </c:pt>
                <c:pt idx="7">
                  <c:v>2.0552646262806191</c:v>
                </c:pt>
                <c:pt idx="8">
                  <c:v>1.9103636804880006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CA-49CA-AA08-F35A2BACC59F}"/>
            </c:ext>
          </c:extLst>
        </c:ser>
        <c:ser>
          <c:idx val="2"/>
          <c:order val="2"/>
          <c:tx>
            <c:strRef>
              <c:f>'400-KOMP NPSH'!$I$7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'400-KOMP NPSH'!$A$11:$A$19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'400-KOMP NPSH'!$I$11:$I$19</c:f>
              <c:numCache>
                <c:formatCode>0.0000</c:formatCode>
                <c:ptCount val="9"/>
                <c:pt idx="0">
                  <c:v>2.9389484548372509</c:v>
                </c:pt>
                <c:pt idx="1">
                  <c:v>2.7954855339711022</c:v>
                </c:pt>
                <c:pt idx="2">
                  <c:v>2.7430756323010983</c:v>
                </c:pt>
                <c:pt idx="3">
                  <c:v>2.6546998574229033</c:v>
                </c:pt>
                <c:pt idx="4">
                  <c:v>2.5673625802231617</c:v>
                </c:pt>
                <c:pt idx="5">
                  <c:v>2.5341695170337775</c:v>
                </c:pt>
                <c:pt idx="6">
                  <c:v>2.4926529353375746</c:v>
                </c:pt>
                <c:pt idx="7">
                  <c:v>2.4127019525902922</c:v>
                </c:pt>
                <c:pt idx="8">
                  <c:v>2.242600842312001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CA-49CA-AA08-F35A2BACC59F}"/>
            </c:ext>
          </c:extLst>
        </c:ser>
        <c:ser>
          <c:idx val="3"/>
          <c:order val="3"/>
          <c:tx>
            <c:strRef>
              <c:f>'400-KOMP NPSH'!$T$56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'400-KOMP NPSH'!$T$60:$T$72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'400-KOMP NPSH'!$V$60:$V$72</c:f>
              <c:numCache>
                <c:formatCode>0.0000</c:formatCode>
                <c:ptCount val="13"/>
                <c:pt idx="0">
                  <c:v>1.0355319999999999</c:v>
                </c:pt>
                <c:pt idx="1">
                  <c:v>0.96135243204687482</c:v>
                </c:pt>
                <c:pt idx="2">
                  <c:v>0.89245333399999982</c:v>
                </c:pt>
                <c:pt idx="3">
                  <c:v>0.6019023383062202</c:v>
                </c:pt>
                <c:pt idx="4">
                  <c:v>0.54116405283227498</c:v>
                </c:pt>
                <c:pt idx="5">
                  <c:v>5.1600340830532776E-2</c:v>
                </c:pt>
                <c:pt idx="6">
                  <c:v>-2.1529166204416006</c:v>
                </c:pt>
                <c:pt idx="7">
                  <c:v>-4.351839542537725</c:v>
                </c:pt>
                <c:pt idx="8">
                  <c:v>-7.6347201862016014</c:v>
                </c:pt>
                <c:pt idx="9">
                  <c:v>-12.295653512191226</c:v>
                </c:pt>
                <c:pt idx="10">
                  <c:v>-18.661732575999999</c:v>
                </c:pt>
                <c:pt idx="11">
                  <c:v>-23.346758558499996</c:v>
                </c:pt>
                <c:pt idx="12">
                  <c:v>-28.824404335999997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CA-49CA-AA08-F35A2BACC59F}"/>
            </c:ext>
          </c:extLst>
        </c:ser>
        <c:ser>
          <c:idx val="4"/>
          <c:order val="4"/>
          <c:tx>
            <c:strRef>
              <c:f>'400-KOMP NPSH'!$H$56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'400-KOMP NPSH'!$I$60:$I$67</c:f>
              <c:numCache>
                <c:formatCode>0.00</c:formatCode>
                <c:ptCount val="8"/>
                <c:pt idx="0">
                  <c:v>19.05</c:v>
                </c:pt>
                <c:pt idx="1">
                  <c:v>1772.89</c:v>
                </c:pt>
                <c:pt idx="2">
                  <c:v>2215.36</c:v>
                </c:pt>
                <c:pt idx="3">
                  <c:v>2666.79</c:v>
                </c:pt>
                <c:pt idx="4">
                  <c:v>2895.51</c:v>
                </c:pt>
                <c:pt idx="5">
                  <c:v>3307.81</c:v>
                </c:pt>
                <c:pt idx="6">
                  <c:v>3700.02</c:v>
                </c:pt>
                <c:pt idx="7">
                  <c:v>4442.0600000000004</c:v>
                </c:pt>
              </c:numCache>
            </c:numRef>
          </c:xVal>
          <c:yVal>
            <c:numRef>
              <c:f>'400-KOMP NPSH'!$O$60:$O$67</c:f>
              <c:numCache>
                <c:formatCode>0.00</c:formatCode>
                <c:ptCount val="8"/>
                <c:pt idx="0">
                  <c:v>1.0297619047619047</c:v>
                </c:pt>
                <c:pt idx="1">
                  <c:v>0.6455238095238095</c:v>
                </c:pt>
                <c:pt idx="2">
                  <c:v>0.61166666666666669</c:v>
                </c:pt>
                <c:pt idx="3">
                  <c:v>0.57890476190476192</c:v>
                </c:pt>
                <c:pt idx="4">
                  <c:v>0.57214285714285718</c:v>
                </c:pt>
                <c:pt idx="5">
                  <c:v>0.56961904761904758</c:v>
                </c:pt>
                <c:pt idx="6">
                  <c:v>0.5569047619047619</c:v>
                </c:pt>
                <c:pt idx="7">
                  <c:v>0.50509523809523804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CA-49CA-AA08-F35A2BACC59F}"/>
            </c:ext>
          </c:extLst>
        </c:ser>
        <c:ser>
          <c:idx val="5"/>
          <c:order val="5"/>
          <c:tx>
            <c:strRef>
              <c:f>'400-KOMP NPSH'!$J$8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 NPSH'!$J$9:$J$10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'400-KOMP NPSH'!$L$9:$L$10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CA-49CA-AA08-F35A2BACC59F}"/>
            </c:ext>
          </c:extLst>
        </c:ser>
        <c:ser>
          <c:idx val="6"/>
          <c:order val="6"/>
          <c:tx>
            <c:strRef>
              <c:f>'400-KOMP NPSH'!$J$11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 NPSH'!$J$12:$J$13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'400-KOMP NPSH'!$L$12:$L$13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CA-49CA-AA08-F35A2BACC59F}"/>
            </c:ext>
          </c:extLst>
        </c:ser>
        <c:ser>
          <c:idx val="7"/>
          <c:order val="7"/>
          <c:tx>
            <c:strRef>
              <c:f>'400-KOMP NPSH'!$J$14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 NPSH'!$J$15:$J$16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'400-KOMP NPSH'!$L$15:$L$16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CA-49CA-AA08-F35A2BACC59F}"/>
            </c:ext>
          </c:extLst>
        </c:ser>
        <c:ser>
          <c:idx val="8"/>
          <c:order val="8"/>
          <c:tx>
            <c:strRef>
              <c:f>'400-KOMP NPSH'!$AA$5:$AD$5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'400-KOMP NPSH'!$AA$9:$AA$18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'400-KOMP NPSH'!$AC$9:$AC$18</c:f>
              <c:numCache>
                <c:formatCode>0.0000</c:formatCode>
                <c:ptCount val="10"/>
                <c:pt idx="0">
                  <c:v>2.8273730000000001</c:v>
                </c:pt>
                <c:pt idx="1">
                  <c:v>2.8598398731677634</c:v>
                </c:pt>
                <c:pt idx="2">
                  <c:v>2.8866248946184374</c:v>
                </c:pt>
                <c:pt idx="3">
                  <c:v>2.9198156570568128</c:v>
                </c:pt>
                <c:pt idx="4">
                  <c:v>2.7836878883631275</c:v>
                </c:pt>
                <c:pt idx="5">
                  <c:v>2.6868232072573641</c:v>
                </c:pt>
                <c:pt idx="6">
                  <c:v>2.7410720997602307</c:v>
                </c:pt>
                <c:pt idx="7">
                  <c:v>2.7809432250971549</c:v>
                </c:pt>
                <c:pt idx="8">
                  <c:v>2.7597513937590046</c:v>
                </c:pt>
                <c:pt idx="9">
                  <c:v>2.5863548884430276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CA-49CA-AA08-F35A2BACC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  <c:max val="12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3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23302905047986966"/>
          <c:w val="0.22394875549398618"/>
          <c:h val="0.61526112184405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TDH test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5980351765832775E-2"/>
                  <c:y val="-0.44878925575208334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'400-KOMP NPSH'!$I$60:$I$72</c:f>
              <c:numCache>
                <c:formatCode>0.00</c:formatCode>
                <c:ptCount val="13"/>
                <c:pt idx="0">
                  <c:v>19.05</c:v>
                </c:pt>
                <c:pt idx="1">
                  <c:v>1772.89</c:v>
                </c:pt>
                <c:pt idx="2">
                  <c:v>2215.36</c:v>
                </c:pt>
                <c:pt idx="3">
                  <c:v>2666.79</c:v>
                </c:pt>
                <c:pt idx="4">
                  <c:v>2895.51</c:v>
                </c:pt>
                <c:pt idx="5">
                  <c:v>3307.81</c:v>
                </c:pt>
                <c:pt idx="6">
                  <c:v>3700.02</c:v>
                </c:pt>
                <c:pt idx="7">
                  <c:v>4442.0600000000004</c:v>
                </c:pt>
              </c:numCache>
            </c:numRef>
          </c:xVal>
          <c:yVal>
            <c:numRef>
              <c:f>'400-KOMP NPSH'!$L$60:$L$72</c:f>
              <c:numCache>
                <c:formatCode>0.00</c:formatCode>
                <c:ptCount val="13"/>
                <c:pt idx="0">
                  <c:v>28.564285714285717</c:v>
                </c:pt>
                <c:pt idx="1">
                  <c:v>17.007142857142856</c:v>
                </c:pt>
                <c:pt idx="2">
                  <c:v>14.672857142857143</c:v>
                </c:pt>
                <c:pt idx="3">
                  <c:v>13.064285714285715</c:v>
                </c:pt>
                <c:pt idx="4">
                  <c:v>12.050952380952381</c:v>
                </c:pt>
                <c:pt idx="5">
                  <c:v>9.836666666666666</c:v>
                </c:pt>
                <c:pt idx="6">
                  <c:v>7.2676190476190481</c:v>
                </c:pt>
                <c:pt idx="7">
                  <c:v>1.177142857142857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F8-431F-8C06-7BE91899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4"/>
            <c:dispRSqr val="1"/>
            <c:dispEq val="1"/>
            <c:trendlineLbl>
              <c:layout>
                <c:manualLayout>
                  <c:x val="8.0562884784520672E-2"/>
                  <c:y val="-0.31651463220184389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'400-KOMP NPSH'!$I$60:$I$72</c:f>
              <c:numCache>
                <c:formatCode>0.00</c:formatCode>
                <c:ptCount val="13"/>
                <c:pt idx="0">
                  <c:v>19.05</c:v>
                </c:pt>
                <c:pt idx="1">
                  <c:v>1772.89</c:v>
                </c:pt>
                <c:pt idx="2">
                  <c:v>2215.36</c:v>
                </c:pt>
                <c:pt idx="3">
                  <c:v>2666.79</c:v>
                </c:pt>
                <c:pt idx="4">
                  <c:v>2895.51</c:v>
                </c:pt>
                <c:pt idx="5">
                  <c:v>3307.81</c:v>
                </c:pt>
                <c:pt idx="6">
                  <c:v>3700.02</c:v>
                </c:pt>
                <c:pt idx="7">
                  <c:v>4442.0600000000004</c:v>
                </c:pt>
              </c:numCache>
            </c:numRef>
          </c:xVal>
          <c:yVal>
            <c:numRef>
              <c:f>'400-KOMP NPSH'!$O$60:$O$72</c:f>
              <c:numCache>
                <c:formatCode>0.00</c:formatCode>
                <c:ptCount val="13"/>
                <c:pt idx="0">
                  <c:v>1.0297619047619047</c:v>
                </c:pt>
                <c:pt idx="1">
                  <c:v>0.6455238095238095</c:v>
                </c:pt>
                <c:pt idx="2">
                  <c:v>0.61166666666666669</c:v>
                </c:pt>
                <c:pt idx="3">
                  <c:v>0.57890476190476192</c:v>
                </c:pt>
                <c:pt idx="4">
                  <c:v>0.57214285714285718</c:v>
                </c:pt>
                <c:pt idx="5">
                  <c:v>0.56961904761904758</c:v>
                </c:pt>
                <c:pt idx="6">
                  <c:v>0.5569047619047619</c:v>
                </c:pt>
                <c:pt idx="7">
                  <c:v>0.50509523809523804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CA-4440-A00C-AA176BB51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EFFICIENCY - OD 400-KOMP</a:t>
            </a:r>
            <a:endParaRPr lang="en-CA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'400-KOMP NPSH'!$T$56:$W$56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75DBFF"/>
              </a:solidFill>
              <a:prstDash val="solid"/>
            </a:ln>
          </c:spPr>
          <c:marker>
            <c:symbol val="none"/>
          </c:marker>
          <c:xVal>
            <c:numRef>
              <c:f>'400-KOMP NPSH'!$T$62:$T$70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'400-KOMP NPSH'!$W$62:$W$70</c:f>
              <c:numCache>
                <c:formatCode>0.0</c:formatCode>
                <c:ptCount val="9"/>
                <c:pt idx="0">
                  <c:v>11.256133177864365</c:v>
                </c:pt>
                <c:pt idx="1">
                  <c:v>40.372150813767306</c:v>
                </c:pt>
                <c:pt idx="2">
                  <c:v>23.867854994742764</c:v>
                </c:pt>
                <c:pt idx="3">
                  <c:v>1723.4234158559784</c:v>
                </c:pt>
                <c:pt idx="4">
                  <c:v>-1054.9945717807159</c:v>
                </c:pt>
                <c:pt idx="5">
                  <c:v>-1409.1816534635811</c:v>
                </c:pt>
                <c:pt idx="6">
                  <c:v>-1848.1728609233053</c:v>
                </c:pt>
                <c:pt idx="7">
                  <c:v>-2361.8697084546443</c:v>
                </c:pt>
                <c:pt idx="8">
                  <c:v>-2947.0246523839864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F-42B1-BB76-84791D68BF93}"/>
            </c:ext>
          </c:extLst>
        </c:ser>
        <c:ser>
          <c:idx val="1"/>
          <c:order val="1"/>
          <c:tx>
            <c:strRef>
              <c:f>'400-KOMP NPSH'!$X$57:$AB$57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'400-KOMP NPSH'!$T$66</c:f>
              <c:numCache>
                <c:formatCode>0</c:formatCode>
                <c:ptCount val="1"/>
                <c:pt idx="0">
                  <c:v>7600</c:v>
                </c:pt>
              </c:numCache>
            </c:numRef>
          </c:xVal>
          <c:yVal>
            <c:numRef>
              <c:f>'400-KOMP NPSH'!$AB$66</c:f>
              <c:numCache>
                <c:formatCode>0.0</c:formatCode>
                <c:ptCount val="1"/>
                <c:pt idx="0">
                  <c:v>55.693060246852674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FF-42B1-BB76-84791D68BF93}"/>
            </c:ext>
          </c:extLst>
        </c:ser>
        <c:ser>
          <c:idx val="2"/>
          <c:order val="2"/>
          <c:tx>
            <c:strRef>
              <c:f>'400-KOMP NPSH'!$Q$56:$S$56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'400-KOMP NPSH'!$T$66</c:f>
              <c:numCache>
                <c:formatCode>0</c:formatCode>
                <c:ptCount val="1"/>
                <c:pt idx="0">
                  <c:v>7600</c:v>
                </c:pt>
              </c:numCache>
            </c:numRef>
          </c:xVal>
          <c:yVal>
            <c:numRef>
              <c:f>'400-KOMP NPSH'!$I$3</c:f>
              <c:numCache>
                <c:formatCode>0.0</c:formatCode>
                <c:ptCount val="1"/>
                <c:pt idx="0">
                  <c:v>61.881178052058523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FF-42B1-BB76-84791D68BF93}"/>
            </c:ext>
          </c:extLst>
        </c:ser>
        <c:ser>
          <c:idx val="3"/>
          <c:order val="3"/>
          <c:tx>
            <c:strRef>
              <c:f>'400-KOMP NPSH'!$J$8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 NPSH'!$J$9:$J$10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'400-KOMP NPSH'!$M$9:$M$10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FF-42B1-BB76-84791D68BF93}"/>
            </c:ext>
          </c:extLst>
        </c:ser>
        <c:ser>
          <c:idx val="5"/>
          <c:order val="4"/>
          <c:tx>
            <c:strRef>
              <c:f>'400-KOMP NPSH'!$J$14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 NPSH'!$J$15:$J$16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'400-KOMP NPSH'!$M$15:$M$16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FF-42B1-BB76-84791D68BF93}"/>
            </c:ext>
          </c:extLst>
        </c:ser>
        <c:ser>
          <c:idx val="4"/>
          <c:order val="5"/>
          <c:tx>
            <c:strRef>
              <c:f>'400-KOMP NPSH'!$J$11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 NPSH'!$J$12:$J$13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'400-KOMP NPSH'!$M$12:$M$13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FF-42B1-BB76-84791D68BF93}"/>
            </c:ext>
          </c:extLst>
        </c:ser>
        <c:ser>
          <c:idx val="6"/>
          <c:order val="6"/>
          <c:tx>
            <c:strRef>
              <c:f>'400-KOMP NPSH'!$AA$5:$AD$5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'400-KOMP NPSH'!$AA$9:$AA$18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'400-KOMP NPSH'!$AD$9:$AD$18</c:f>
              <c:numCache>
                <c:formatCode>0.00</c:formatCode>
                <c:ptCount val="10"/>
                <c:pt idx="0">
                  <c:v>3.72368E-2</c:v>
                </c:pt>
                <c:pt idx="1">
                  <c:v>3.8849567373818363</c:v>
                </c:pt>
                <c:pt idx="2">
                  <c:v>7.4926299287187508</c:v>
                </c:pt>
                <c:pt idx="3">
                  <c:v>26.943121119263353</c:v>
                </c:pt>
                <c:pt idx="4">
                  <c:v>38.365410167951239</c:v>
                </c:pt>
                <c:pt idx="5">
                  <c:v>44.540327376631247</c:v>
                </c:pt>
                <c:pt idx="6">
                  <c:v>43.13951378781185</c:v>
                </c:pt>
                <c:pt idx="7">
                  <c:v>36.788234694086555</c:v>
                </c:pt>
                <c:pt idx="8">
                  <c:v>23.826781799237864</c:v>
                </c:pt>
                <c:pt idx="9">
                  <c:v>1.0538681326821688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FF-42B1-BB76-84791D68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1813200904005026"/>
          <c:h val="0.326662017778910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TDH - OD 400-KOMP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'400-KOMP'!$A$5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'400-KOMP'!$A$9:$A$21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'400-KOMP'!$B$9:$B$21</c:f>
              <c:numCache>
                <c:formatCode>0.0000</c:formatCode>
                <c:ptCount val="13"/>
                <c:pt idx="0">
                  <c:v>54.3</c:v>
                </c:pt>
                <c:pt idx="1">
                  <c:v>53.22123634755566</c:v>
                </c:pt>
                <c:pt idx="2">
                  <c:v>52.245569806781255</c:v>
                </c:pt>
                <c:pt idx="3">
                  <c:v>46.598216124680064</c:v>
                </c:pt>
                <c:pt idx="4">
                  <c:v>40.537465397409534</c:v>
                </c:pt>
                <c:pt idx="5">
                  <c:v>33.399631371634094</c:v>
                </c:pt>
                <c:pt idx="6">
                  <c:v>26.279702160517104</c:v>
                </c:pt>
                <c:pt idx="7">
                  <c:v>23.055908562691634</c:v>
                </c:pt>
                <c:pt idx="8">
                  <c:v>19.756738027207419</c:v>
                </c:pt>
                <c:pt idx="9">
                  <c:v>15.946139712867335</c:v>
                </c:pt>
                <c:pt idx="10">
                  <c:v>10.878983427000009</c:v>
                </c:pt>
                <c:pt idx="11">
                  <c:v>6.8777239709687876</c:v>
                </c:pt>
                <c:pt idx="12">
                  <c:v>1.7660538239999255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9-4324-8C30-365647536F7A}"/>
            </c:ext>
          </c:extLst>
        </c:ser>
        <c:ser>
          <c:idx val="1"/>
          <c:order val="1"/>
          <c:tx>
            <c:strRef>
              <c:f>'400-KOMP'!$D$6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'400-KOMP'!$A$11:$A$19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'400-KOMP'!$E$11:$E$19</c:f>
              <c:numCache>
                <c:formatCode>0.0000</c:formatCode>
                <c:ptCount val="9"/>
                <c:pt idx="0">
                  <c:v>54.956140493918511</c:v>
                </c:pt>
                <c:pt idx="1">
                  <c:v>49.294480775551101</c:v>
                </c:pt>
                <c:pt idx="2">
                  <c:v>43.360902274433364</c:v>
                </c:pt>
                <c:pt idx="3">
                  <c:v>36.332462867010086</c:v>
                </c:pt>
                <c:pt idx="4">
                  <c:v>29.142190385995498</c:v>
                </c:pt>
                <c:pt idx="5">
                  <c:v>25.883351678633328</c:v>
                </c:pt>
                <c:pt idx="6">
                  <c:v>22.670211021019703</c:v>
                </c:pt>
                <c:pt idx="7">
                  <c:v>19.232937014906632</c:v>
                </c:pt>
                <c:pt idx="8">
                  <c:v>15.06778191805973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29-4324-8C30-365647536F7A}"/>
            </c:ext>
          </c:extLst>
        </c:ser>
        <c:ser>
          <c:idx val="2"/>
          <c:order val="2"/>
          <c:tx>
            <c:strRef>
              <c:f>'400-KOMP'!$F$6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'400-KOMP'!$A$11:$A$19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'400-KOMP'!$G$11:$G$19</c:f>
              <c:numCache>
                <c:formatCode>0.0000</c:formatCode>
                <c:ptCount val="9"/>
                <c:pt idx="0">
                  <c:v>49.545116731677162</c:v>
                </c:pt>
                <c:pt idx="1">
                  <c:v>43.933824081786462</c:v>
                </c:pt>
                <c:pt idx="2">
                  <c:v>37.774785601973889</c:v>
                </c:pt>
                <c:pt idx="3">
                  <c:v>30.589236341325019</c:v>
                </c:pt>
                <c:pt idx="4">
                  <c:v>23.589097694949103</c:v>
                </c:pt>
                <c:pt idx="5">
                  <c:v>20.373858005058374</c:v>
                </c:pt>
                <c:pt idx="6">
                  <c:v>16.886386393688504</c:v>
                </c:pt>
                <c:pt idx="7">
                  <c:v>12.477690658235751</c:v>
                </c:pt>
                <c:pt idx="8">
                  <c:v>6.100804721708883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29-4324-8C30-365647536F7A}"/>
            </c:ext>
          </c:extLst>
        </c:ser>
        <c:ser>
          <c:idx val="3"/>
          <c:order val="3"/>
          <c:tx>
            <c:strRef>
              <c:f>'400-KOMP'!$T$56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'400-KOMP'!$T$60:$T$72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'400-KOMP'!$U$60:$U$72</c:f>
              <c:numCache>
                <c:formatCode>0.0000</c:formatCode>
                <c:ptCount val="13"/>
                <c:pt idx="0">
                  <c:v>28.496189999999999</c:v>
                </c:pt>
                <c:pt idx="1">
                  <c:v>28.555774061718751</c:v>
                </c:pt>
                <c:pt idx="2">
                  <c:v>27.281366912499998</c:v>
                </c:pt>
                <c:pt idx="3">
                  <c:v>14.504003909485263</c:v>
                </c:pt>
                <c:pt idx="4">
                  <c:v>4.3306062644347776</c:v>
                </c:pt>
                <c:pt idx="5">
                  <c:v>20.730511675392336</c:v>
                </c:pt>
                <c:pt idx="6">
                  <c:v>405.81232695091239</c:v>
                </c:pt>
                <c:pt idx="7">
                  <c:v>985.47256243340416</c:v>
                </c:pt>
                <c:pt idx="8">
                  <c:v>2060.2226455121181</c:v>
                </c:pt>
                <c:pt idx="9">
                  <c:v>3885.1062652761102</c:v>
                </c:pt>
                <c:pt idx="10">
                  <c:v>6788.9785582000004</c:v>
                </c:pt>
                <c:pt idx="11">
                  <c:v>9163.4480048624973</c:v>
                </c:pt>
                <c:pt idx="12">
                  <c:v>12150.509432400002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29-4324-8C30-365647536F7A}"/>
            </c:ext>
          </c:extLst>
        </c:ser>
        <c:ser>
          <c:idx val="4"/>
          <c:order val="4"/>
          <c:tx>
            <c:strRef>
              <c:f>'400-KOMP'!$H$56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'400-KOMP'!$I$60:$I$67</c:f>
              <c:numCache>
                <c:formatCode>0.00</c:formatCode>
                <c:ptCount val="8"/>
                <c:pt idx="0">
                  <c:v>19.05</c:v>
                </c:pt>
                <c:pt idx="1">
                  <c:v>1772.89</c:v>
                </c:pt>
                <c:pt idx="2">
                  <c:v>2215.36</c:v>
                </c:pt>
                <c:pt idx="3">
                  <c:v>2666.79</c:v>
                </c:pt>
                <c:pt idx="4">
                  <c:v>2895.51</c:v>
                </c:pt>
                <c:pt idx="5">
                  <c:v>3307.81</c:v>
                </c:pt>
                <c:pt idx="6">
                  <c:v>3700.02</c:v>
                </c:pt>
                <c:pt idx="7">
                  <c:v>4442.0600000000004</c:v>
                </c:pt>
              </c:numCache>
            </c:numRef>
          </c:xVal>
          <c:yVal>
            <c:numRef>
              <c:f>'400-KOMP'!$L$60:$L$67</c:f>
              <c:numCache>
                <c:formatCode>0.00</c:formatCode>
                <c:ptCount val="8"/>
                <c:pt idx="0">
                  <c:v>28.564285714285717</c:v>
                </c:pt>
                <c:pt idx="1">
                  <c:v>17.007142857142856</c:v>
                </c:pt>
                <c:pt idx="2">
                  <c:v>14.672857142857143</c:v>
                </c:pt>
                <c:pt idx="3">
                  <c:v>13.064285714285715</c:v>
                </c:pt>
                <c:pt idx="4">
                  <c:v>12.050952380952381</c:v>
                </c:pt>
                <c:pt idx="5">
                  <c:v>9.836666666666666</c:v>
                </c:pt>
                <c:pt idx="6">
                  <c:v>7.2676190476190481</c:v>
                </c:pt>
                <c:pt idx="7">
                  <c:v>1.177142857142857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29-4324-8C30-365647536F7A}"/>
            </c:ext>
          </c:extLst>
        </c:ser>
        <c:ser>
          <c:idx val="5"/>
          <c:order val="5"/>
          <c:tx>
            <c:strRef>
              <c:f>'400-KOMP'!$J$8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'400-KOMP'!$K$9:$K$10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29-4324-8C30-365647536F7A}"/>
            </c:ext>
          </c:extLst>
        </c:ser>
        <c:ser>
          <c:idx val="6"/>
          <c:order val="6"/>
          <c:tx>
            <c:strRef>
              <c:f>'400-KOMP'!$J$11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'400-KOMP'!$K$12:$K$13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29-4324-8C30-365647536F7A}"/>
            </c:ext>
          </c:extLst>
        </c:ser>
        <c:ser>
          <c:idx val="7"/>
          <c:order val="7"/>
          <c:tx>
            <c:strRef>
              <c:f>'400-KOMP'!$J$14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'400-KOMP'!$K$15:$K$16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929-4324-8C30-365647536F7A}"/>
            </c:ext>
          </c:extLst>
        </c:ser>
        <c:ser>
          <c:idx val="8"/>
          <c:order val="8"/>
          <c:tx>
            <c:strRef>
              <c:f>'400-KOMP'!$AA$5:$AD$5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'400-KOMP'!$AA$9:$AA$18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'400-KOMP'!$AB$9:$AB$18</c:f>
              <c:numCache>
                <c:formatCode>0.0000</c:formatCode>
                <c:ptCount val="10"/>
                <c:pt idx="0">
                  <c:v>55.159590000000001</c:v>
                </c:pt>
                <c:pt idx="1">
                  <c:v>55.59955494152539</c:v>
                </c:pt>
                <c:pt idx="2">
                  <c:v>55.549834901312501</c:v>
                </c:pt>
                <c:pt idx="3">
                  <c:v>47.073785384975046</c:v>
                </c:pt>
                <c:pt idx="4">
                  <c:v>35.710594502449737</c:v>
                </c:pt>
                <c:pt idx="5">
                  <c:v>27.815463777769857</c:v>
                </c:pt>
                <c:pt idx="6">
                  <c:v>21.108611150597142</c:v>
                </c:pt>
                <c:pt idx="7">
                  <c:v>16.425653627887826</c:v>
                </c:pt>
                <c:pt idx="8">
                  <c:v>9.663166424328665</c:v>
                </c:pt>
                <c:pt idx="9">
                  <c:v>9.4328034895823976E-2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929-4324-8C30-365647536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  <c:max val="1200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8.5043999923173158E-2"/>
          <c:w val="0.29811987307556703"/>
          <c:h val="0.81961322984669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BRAKE POWER - OD 400-KOMP</a:t>
            </a:r>
          </a:p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'400-KOMP'!$A$5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'400-KOMP'!$A$9:$A$21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'400-KOMP'!$C$9:$C$21</c:f>
              <c:numCache>
                <c:formatCode>0.0000</c:formatCode>
                <c:ptCount val="13"/>
                <c:pt idx="0">
                  <c:v>2.8245</c:v>
                </c:pt>
                <c:pt idx="1">
                  <c:v>2.767020703856836</c:v>
                </c:pt>
                <c:pt idx="2">
                  <c:v>2.7212485692937505</c:v>
                </c:pt>
                <c:pt idx="3">
                  <c:v>2.5884125314547242</c:v>
                </c:pt>
                <c:pt idx="4">
                  <c:v>2.5398848447232392</c:v>
                </c:pt>
                <c:pt idx="5">
                  <c:v>2.4580554235397249</c:v>
                </c:pt>
                <c:pt idx="6">
                  <c:v>2.3771875742807049</c:v>
                </c:pt>
                <c:pt idx="7">
                  <c:v>2.3464532565127567</c:v>
                </c:pt>
                <c:pt idx="8">
                  <c:v>2.308011977164421</c:v>
                </c:pt>
                <c:pt idx="9">
                  <c:v>2.2339832894354554</c:v>
                </c:pt>
                <c:pt idx="10">
                  <c:v>2.0764822614000007</c:v>
                </c:pt>
                <c:pt idx="11">
                  <c:v>1.9168084970062509</c:v>
                </c:pt>
                <c:pt idx="12">
                  <c:v>1.6844520287999956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81-44B0-A3D8-7128F21BF6BF}"/>
            </c:ext>
          </c:extLst>
        </c:ser>
        <c:ser>
          <c:idx val="0"/>
          <c:order val="1"/>
          <c:tx>
            <c:strRef>
              <c:f>'400-KOMP'!$H$7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'400-KOMP'!$A$11:$A$19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'400-KOMP'!$H$11:$H$19</c:f>
              <c:numCache>
                <c:formatCode>0.0000</c:formatCode>
                <c:ptCount val="9"/>
                <c:pt idx="0">
                  <c:v>2.5035486837502505</c:v>
                </c:pt>
                <c:pt idx="1">
                  <c:v>2.3813395289383466</c:v>
                </c:pt>
                <c:pt idx="2">
                  <c:v>2.33669405714538</c:v>
                </c:pt>
                <c:pt idx="3">
                  <c:v>2.2614109896565471</c:v>
                </c:pt>
                <c:pt idx="4">
                  <c:v>2.1870125683382486</c:v>
                </c:pt>
                <c:pt idx="5">
                  <c:v>2.1587369959917364</c:v>
                </c:pt>
                <c:pt idx="6">
                  <c:v>2.1233710189912673</c:v>
                </c:pt>
                <c:pt idx="7">
                  <c:v>2.0552646262806191</c:v>
                </c:pt>
                <c:pt idx="8">
                  <c:v>1.9103636804880006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81-44B0-A3D8-7128F21BF6BF}"/>
            </c:ext>
          </c:extLst>
        </c:ser>
        <c:ser>
          <c:idx val="2"/>
          <c:order val="2"/>
          <c:tx>
            <c:strRef>
              <c:f>'400-KOMP'!$I$7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'400-KOMP'!$A$11:$A$19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'400-KOMP'!$I$11:$I$19</c:f>
              <c:numCache>
                <c:formatCode>0.0000</c:formatCode>
                <c:ptCount val="9"/>
                <c:pt idx="0">
                  <c:v>2.9389484548372509</c:v>
                </c:pt>
                <c:pt idx="1">
                  <c:v>2.7954855339711022</c:v>
                </c:pt>
                <c:pt idx="2">
                  <c:v>2.7430756323010983</c:v>
                </c:pt>
                <c:pt idx="3">
                  <c:v>2.6546998574229033</c:v>
                </c:pt>
                <c:pt idx="4">
                  <c:v>2.5673625802231617</c:v>
                </c:pt>
                <c:pt idx="5">
                  <c:v>2.5341695170337775</c:v>
                </c:pt>
                <c:pt idx="6">
                  <c:v>2.4926529353375746</c:v>
                </c:pt>
                <c:pt idx="7">
                  <c:v>2.4127019525902922</c:v>
                </c:pt>
                <c:pt idx="8">
                  <c:v>2.242600842312001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81-44B0-A3D8-7128F21BF6BF}"/>
            </c:ext>
          </c:extLst>
        </c:ser>
        <c:ser>
          <c:idx val="3"/>
          <c:order val="3"/>
          <c:tx>
            <c:strRef>
              <c:f>'400-KOMP'!$T$56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'400-KOMP'!$T$60:$T$72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'400-KOMP'!$V$60:$V$72</c:f>
              <c:numCache>
                <c:formatCode>0.0000</c:formatCode>
                <c:ptCount val="13"/>
                <c:pt idx="0">
                  <c:v>1.0355319999999999</c:v>
                </c:pt>
                <c:pt idx="1">
                  <c:v>0.96135243204687482</c:v>
                </c:pt>
                <c:pt idx="2">
                  <c:v>0.89245333399999982</c:v>
                </c:pt>
                <c:pt idx="3">
                  <c:v>0.6019023383062202</c:v>
                </c:pt>
                <c:pt idx="4">
                  <c:v>0.54116405283227498</c:v>
                </c:pt>
                <c:pt idx="5">
                  <c:v>5.1600340830532776E-2</c:v>
                </c:pt>
                <c:pt idx="6">
                  <c:v>-2.1529166204416006</c:v>
                </c:pt>
                <c:pt idx="7">
                  <c:v>-4.351839542537725</c:v>
                </c:pt>
                <c:pt idx="8">
                  <c:v>-7.6347201862016014</c:v>
                </c:pt>
                <c:pt idx="9">
                  <c:v>-12.295653512191226</c:v>
                </c:pt>
                <c:pt idx="10">
                  <c:v>-18.661732575999999</c:v>
                </c:pt>
                <c:pt idx="11">
                  <c:v>-23.346758558499996</c:v>
                </c:pt>
                <c:pt idx="12">
                  <c:v>-28.824404335999997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81-44B0-A3D8-7128F21BF6BF}"/>
            </c:ext>
          </c:extLst>
        </c:ser>
        <c:ser>
          <c:idx val="4"/>
          <c:order val="4"/>
          <c:tx>
            <c:strRef>
              <c:f>'400-KOMP'!$H$56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'400-KOMP'!$I$60:$I$67</c:f>
              <c:numCache>
                <c:formatCode>0.00</c:formatCode>
                <c:ptCount val="8"/>
                <c:pt idx="0">
                  <c:v>19.05</c:v>
                </c:pt>
                <c:pt idx="1">
                  <c:v>1772.89</c:v>
                </c:pt>
                <c:pt idx="2">
                  <c:v>2215.36</c:v>
                </c:pt>
                <c:pt idx="3">
                  <c:v>2666.79</c:v>
                </c:pt>
                <c:pt idx="4">
                  <c:v>2895.51</c:v>
                </c:pt>
                <c:pt idx="5">
                  <c:v>3307.81</c:v>
                </c:pt>
                <c:pt idx="6">
                  <c:v>3700.02</c:v>
                </c:pt>
                <c:pt idx="7">
                  <c:v>4442.0600000000004</c:v>
                </c:pt>
              </c:numCache>
            </c:numRef>
          </c:xVal>
          <c:yVal>
            <c:numRef>
              <c:f>'400-KOMP'!$O$60:$O$67</c:f>
              <c:numCache>
                <c:formatCode>0.00</c:formatCode>
                <c:ptCount val="8"/>
                <c:pt idx="0">
                  <c:v>1.0297619047619047</c:v>
                </c:pt>
                <c:pt idx="1">
                  <c:v>0.6455238095238095</c:v>
                </c:pt>
                <c:pt idx="2">
                  <c:v>0.61166666666666669</c:v>
                </c:pt>
                <c:pt idx="3">
                  <c:v>0.57890476190476192</c:v>
                </c:pt>
                <c:pt idx="4">
                  <c:v>0.57214285714285718</c:v>
                </c:pt>
                <c:pt idx="5">
                  <c:v>0.56961904761904758</c:v>
                </c:pt>
                <c:pt idx="6">
                  <c:v>0.5569047619047619</c:v>
                </c:pt>
                <c:pt idx="7">
                  <c:v>0.50509523809523804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81-44B0-A3D8-7128F21BF6BF}"/>
            </c:ext>
          </c:extLst>
        </c:ser>
        <c:ser>
          <c:idx val="5"/>
          <c:order val="5"/>
          <c:tx>
            <c:strRef>
              <c:f>'400-KOMP'!$J$8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'400-KOMP'!$L$9:$L$10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81-44B0-A3D8-7128F21BF6BF}"/>
            </c:ext>
          </c:extLst>
        </c:ser>
        <c:ser>
          <c:idx val="6"/>
          <c:order val="6"/>
          <c:tx>
            <c:strRef>
              <c:f>'400-KOMP'!$J$11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'400-KOMP'!$L$12:$L$13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81-44B0-A3D8-7128F21BF6BF}"/>
            </c:ext>
          </c:extLst>
        </c:ser>
        <c:ser>
          <c:idx val="7"/>
          <c:order val="7"/>
          <c:tx>
            <c:strRef>
              <c:f>'400-KOMP'!$J$14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'400-KOMP'!$L$15:$L$16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981-44B0-A3D8-7128F21BF6BF}"/>
            </c:ext>
          </c:extLst>
        </c:ser>
        <c:ser>
          <c:idx val="8"/>
          <c:order val="8"/>
          <c:tx>
            <c:strRef>
              <c:f>'400-KOMP'!$AA$5:$AD$5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'400-KOMP'!$AA$9:$AA$18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'400-KOMP'!$AC$9:$AC$18</c:f>
              <c:numCache>
                <c:formatCode>0.0000</c:formatCode>
                <c:ptCount val="10"/>
                <c:pt idx="0">
                  <c:v>2.8273730000000001</c:v>
                </c:pt>
                <c:pt idx="1">
                  <c:v>2.8598398731677634</c:v>
                </c:pt>
                <c:pt idx="2">
                  <c:v>2.8866248946184374</c:v>
                </c:pt>
                <c:pt idx="3">
                  <c:v>2.9198156570568128</c:v>
                </c:pt>
                <c:pt idx="4">
                  <c:v>2.7836878883631275</c:v>
                </c:pt>
                <c:pt idx="5">
                  <c:v>2.6868232072573641</c:v>
                </c:pt>
                <c:pt idx="6">
                  <c:v>2.7410720997602307</c:v>
                </c:pt>
                <c:pt idx="7">
                  <c:v>2.7809432250971549</c:v>
                </c:pt>
                <c:pt idx="8">
                  <c:v>2.7597513937590046</c:v>
                </c:pt>
                <c:pt idx="9">
                  <c:v>2.5863548884430276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981-44B0-A3D8-7128F21BF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  <c:max val="12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3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23302905047986966"/>
          <c:w val="0.22394875549398618"/>
          <c:h val="0.61526112184405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EFFICIENCY - RC12 ODI sheet marked "A"</a:t>
            </a:r>
            <a:endParaRPr lang="en-CA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"A" 26.2mm'!$T$56:$W$56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'RC12 "A" 26.2mm'!$T$62:$T$70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"A" 26.2mm'!$W$62:$W$70</c:f>
              <c:numCache>
                <c:formatCode>0.0</c:formatCode>
                <c:ptCount val="9"/>
                <c:pt idx="0">
                  <c:v>46.365699494073226</c:v>
                </c:pt>
                <c:pt idx="1">
                  <c:v>51.02111944342321</c:v>
                </c:pt>
                <c:pt idx="2">
                  <c:v>55.025061358872186</c:v>
                </c:pt>
                <c:pt idx="3">
                  <c:v>57.976064254782131</c:v>
                </c:pt>
                <c:pt idx="4">
                  <c:v>59.238589736026597</c:v>
                </c:pt>
                <c:pt idx="5">
                  <c:v>58.033651898663898</c:v>
                </c:pt>
                <c:pt idx="6">
                  <c:v>53.620136690235434</c:v>
                </c:pt>
                <c:pt idx="7">
                  <c:v>45.584494028872562</c:v>
                </c:pt>
                <c:pt idx="8">
                  <c:v>34.176469107704904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5-48CC-9251-A803E0BF2B24}"/>
            </c:ext>
          </c:extLst>
        </c:ser>
        <c:ser>
          <c:idx val="1"/>
          <c:order val="1"/>
          <c:tx>
            <c:strRef>
              <c:f>'RC12 "A" 26.2mm'!$X$57:$AB$57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'RC12 "A" 26.2mm'!$T$66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"A" 26.2mm'!$AB$66</c:f>
              <c:numCache>
                <c:formatCode>0.0</c:formatCode>
                <c:ptCount val="1"/>
                <c:pt idx="0">
                  <c:v>57.278896193482765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05-48CC-9251-A803E0BF2B24}"/>
            </c:ext>
          </c:extLst>
        </c:ser>
        <c:ser>
          <c:idx val="2"/>
          <c:order val="2"/>
          <c:tx>
            <c:strRef>
              <c:f>'RC12 "A" 26.2mm'!$Q$56:$S$56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'RC12 "A" 26.2mm'!$T$66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"A" 26.2mm'!$I$3</c:f>
              <c:numCache>
                <c:formatCode>0.0</c:formatCode>
                <c:ptCount val="1"/>
                <c:pt idx="0">
                  <c:v>63.643217992758629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05-48CC-9251-A803E0BF2B24}"/>
            </c:ext>
          </c:extLst>
        </c:ser>
        <c:ser>
          <c:idx val="3"/>
          <c:order val="3"/>
          <c:tx>
            <c:strRef>
              <c:f>'RC12 "A" 26.2mm'!$J$8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"A" 26.2mm'!$M$9:$M$10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05-48CC-9251-A803E0BF2B24}"/>
            </c:ext>
          </c:extLst>
        </c:ser>
        <c:ser>
          <c:idx val="5"/>
          <c:order val="4"/>
          <c:tx>
            <c:strRef>
              <c:f>'RC12 "A" 26.2mm'!$J$14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"A" 26.2mm'!$M$15:$M$16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05-48CC-9251-A803E0BF2B24}"/>
            </c:ext>
          </c:extLst>
        </c:ser>
        <c:ser>
          <c:idx val="4"/>
          <c:order val="5"/>
          <c:tx>
            <c:strRef>
              <c:f>'RC12 "A" 26.2mm'!$J$11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"A" 26.2mm'!$M$12:$M$13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05-48CC-9251-A803E0BF2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  <c:max val="20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0466813291131802"/>
          <c:h val="0.28040549657660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TDH test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5980351765832775E-2"/>
                  <c:y val="-0.44878925575208334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'400-KOMP'!$I$60:$I$72</c:f>
              <c:numCache>
                <c:formatCode>0.00</c:formatCode>
                <c:ptCount val="13"/>
                <c:pt idx="0">
                  <c:v>19.05</c:v>
                </c:pt>
                <c:pt idx="1">
                  <c:v>1772.89</c:v>
                </c:pt>
                <c:pt idx="2">
                  <c:v>2215.36</c:v>
                </c:pt>
                <c:pt idx="3">
                  <c:v>2666.79</c:v>
                </c:pt>
                <c:pt idx="4">
                  <c:v>2895.51</c:v>
                </c:pt>
                <c:pt idx="5">
                  <c:v>3307.81</c:v>
                </c:pt>
                <c:pt idx="6">
                  <c:v>3700.02</c:v>
                </c:pt>
                <c:pt idx="7">
                  <c:v>4442.0600000000004</c:v>
                </c:pt>
              </c:numCache>
            </c:numRef>
          </c:xVal>
          <c:yVal>
            <c:numRef>
              <c:f>'400-KOMP'!$L$60:$L$72</c:f>
              <c:numCache>
                <c:formatCode>0.00</c:formatCode>
                <c:ptCount val="13"/>
                <c:pt idx="0">
                  <c:v>28.564285714285717</c:v>
                </c:pt>
                <c:pt idx="1">
                  <c:v>17.007142857142856</c:v>
                </c:pt>
                <c:pt idx="2">
                  <c:v>14.672857142857143</c:v>
                </c:pt>
                <c:pt idx="3">
                  <c:v>13.064285714285715</c:v>
                </c:pt>
                <c:pt idx="4">
                  <c:v>12.050952380952381</c:v>
                </c:pt>
                <c:pt idx="5">
                  <c:v>9.836666666666666</c:v>
                </c:pt>
                <c:pt idx="6">
                  <c:v>7.2676190476190481</c:v>
                </c:pt>
                <c:pt idx="7">
                  <c:v>1.177142857142857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59-43BF-81B8-B4E19E431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4"/>
            <c:dispRSqr val="1"/>
            <c:dispEq val="1"/>
            <c:trendlineLbl>
              <c:layout>
                <c:manualLayout>
                  <c:x val="8.0562884784520672E-2"/>
                  <c:y val="-0.31651463220184389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'400-KOMP'!$I$60:$I$72</c:f>
              <c:numCache>
                <c:formatCode>0.00</c:formatCode>
                <c:ptCount val="13"/>
                <c:pt idx="0">
                  <c:v>19.05</c:v>
                </c:pt>
                <c:pt idx="1">
                  <c:v>1772.89</c:v>
                </c:pt>
                <c:pt idx="2">
                  <c:v>2215.36</c:v>
                </c:pt>
                <c:pt idx="3">
                  <c:v>2666.79</c:v>
                </c:pt>
                <c:pt idx="4">
                  <c:v>2895.51</c:v>
                </c:pt>
                <c:pt idx="5">
                  <c:v>3307.81</c:v>
                </c:pt>
                <c:pt idx="6">
                  <c:v>3700.02</c:v>
                </c:pt>
                <c:pt idx="7">
                  <c:v>4442.0600000000004</c:v>
                </c:pt>
              </c:numCache>
            </c:numRef>
          </c:xVal>
          <c:yVal>
            <c:numRef>
              <c:f>'400-KOMP'!$O$60:$O$72</c:f>
              <c:numCache>
                <c:formatCode>0.00</c:formatCode>
                <c:ptCount val="13"/>
                <c:pt idx="0">
                  <c:v>1.0297619047619047</c:v>
                </c:pt>
                <c:pt idx="1">
                  <c:v>0.6455238095238095</c:v>
                </c:pt>
                <c:pt idx="2">
                  <c:v>0.61166666666666669</c:v>
                </c:pt>
                <c:pt idx="3">
                  <c:v>0.57890476190476192</c:v>
                </c:pt>
                <c:pt idx="4">
                  <c:v>0.57214285714285718</c:v>
                </c:pt>
                <c:pt idx="5">
                  <c:v>0.56961904761904758</c:v>
                </c:pt>
                <c:pt idx="6">
                  <c:v>0.5569047619047619</c:v>
                </c:pt>
                <c:pt idx="7">
                  <c:v>0.50509523809523804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A-4A1D-A718-A3CF9D748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EFFICIENCY - OD 400-KOMP</a:t>
            </a:r>
            <a:endParaRPr lang="en-CA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'400-KOMP'!$T$56:$W$56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75DBFF"/>
              </a:solidFill>
              <a:prstDash val="solid"/>
            </a:ln>
          </c:spPr>
          <c:marker>
            <c:symbol val="none"/>
          </c:marker>
          <c:xVal>
            <c:numRef>
              <c:f>'400-KOMP'!$T$62:$T$70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'400-KOMP'!$W$62:$W$70</c:f>
              <c:numCache>
                <c:formatCode>0.0</c:formatCode>
                <c:ptCount val="9"/>
                <c:pt idx="0">
                  <c:v>11.256133177864365</c:v>
                </c:pt>
                <c:pt idx="1">
                  <c:v>40.372150813767306</c:v>
                </c:pt>
                <c:pt idx="2">
                  <c:v>23.867854994742764</c:v>
                </c:pt>
                <c:pt idx="3">
                  <c:v>1723.4234158559784</c:v>
                </c:pt>
                <c:pt idx="4">
                  <c:v>-1054.9945717807159</c:v>
                </c:pt>
                <c:pt idx="5">
                  <c:v>-1409.1816534635811</c:v>
                </c:pt>
                <c:pt idx="6">
                  <c:v>-1848.1728609233053</c:v>
                </c:pt>
                <c:pt idx="7">
                  <c:v>-2361.8697084546443</c:v>
                </c:pt>
                <c:pt idx="8">
                  <c:v>-2947.0246523839864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6-45D9-ADCE-3E180B443D56}"/>
            </c:ext>
          </c:extLst>
        </c:ser>
        <c:ser>
          <c:idx val="1"/>
          <c:order val="1"/>
          <c:tx>
            <c:strRef>
              <c:f>'400-KOMP'!$X$57:$AB$57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'400-KOMP'!$T$66</c:f>
              <c:numCache>
                <c:formatCode>0</c:formatCode>
                <c:ptCount val="1"/>
                <c:pt idx="0">
                  <c:v>7600</c:v>
                </c:pt>
              </c:numCache>
            </c:numRef>
          </c:xVal>
          <c:yVal>
            <c:numRef>
              <c:f>'400-KOMP'!$AB$66</c:f>
              <c:numCache>
                <c:formatCode>0.0</c:formatCode>
                <c:ptCount val="1"/>
                <c:pt idx="0">
                  <c:v>55.693060246852674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76-45D9-ADCE-3E180B443D56}"/>
            </c:ext>
          </c:extLst>
        </c:ser>
        <c:ser>
          <c:idx val="2"/>
          <c:order val="2"/>
          <c:tx>
            <c:strRef>
              <c:f>'400-KOMP'!$Q$56:$S$56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'400-KOMP'!$T$66</c:f>
              <c:numCache>
                <c:formatCode>0</c:formatCode>
                <c:ptCount val="1"/>
                <c:pt idx="0">
                  <c:v>7600</c:v>
                </c:pt>
              </c:numCache>
            </c:numRef>
          </c:xVal>
          <c:yVal>
            <c:numRef>
              <c:f>'400-KOMP'!$I$3</c:f>
              <c:numCache>
                <c:formatCode>0.0</c:formatCode>
                <c:ptCount val="1"/>
                <c:pt idx="0">
                  <c:v>61.881178052058523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76-45D9-ADCE-3E180B443D56}"/>
            </c:ext>
          </c:extLst>
        </c:ser>
        <c:ser>
          <c:idx val="3"/>
          <c:order val="3"/>
          <c:tx>
            <c:strRef>
              <c:f>'400-KOMP'!$J$8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'400-KOMP'!$M$9:$M$10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76-45D9-ADCE-3E180B443D56}"/>
            </c:ext>
          </c:extLst>
        </c:ser>
        <c:ser>
          <c:idx val="5"/>
          <c:order val="4"/>
          <c:tx>
            <c:strRef>
              <c:f>'400-KOMP'!$J$14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'400-KOMP'!$M$15:$M$16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76-45D9-ADCE-3E180B443D56}"/>
            </c:ext>
          </c:extLst>
        </c:ser>
        <c:ser>
          <c:idx val="4"/>
          <c:order val="5"/>
          <c:tx>
            <c:strRef>
              <c:f>'400-KOMP'!$J$11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'400-KOMP'!$M$12:$M$13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76-45D9-ADCE-3E180B443D56}"/>
            </c:ext>
          </c:extLst>
        </c:ser>
        <c:ser>
          <c:idx val="6"/>
          <c:order val="6"/>
          <c:tx>
            <c:strRef>
              <c:f>'400-KOMP'!$AA$5:$AD$5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'400-KOMP'!$AA$9:$AA$18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'400-KOMP'!$AD$9:$AD$18</c:f>
              <c:numCache>
                <c:formatCode>0.00</c:formatCode>
                <c:ptCount val="10"/>
                <c:pt idx="0">
                  <c:v>3.72368E-2</c:v>
                </c:pt>
                <c:pt idx="1">
                  <c:v>3.8849567373818363</c:v>
                </c:pt>
                <c:pt idx="2">
                  <c:v>7.4926299287187508</c:v>
                </c:pt>
                <c:pt idx="3">
                  <c:v>26.943121119263353</c:v>
                </c:pt>
                <c:pt idx="4">
                  <c:v>38.365410167951239</c:v>
                </c:pt>
                <c:pt idx="5">
                  <c:v>44.540327376631247</c:v>
                </c:pt>
                <c:pt idx="6">
                  <c:v>43.13951378781185</c:v>
                </c:pt>
                <c:pt idx="7">
                  <c:v>36.788234694086555</c:v>
                </c:pt>
                <c:pt idx="8">
                  <c:v>23.826781799237864</c:v>
                </c:pt>
                <c:pt idx="9">
                  <c:v>1.0538681326821688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76-45D9-ADCE-3E180B443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1813200904005026"/>
          <c:h val="0.326662017778910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TDH - OD 400-900R-F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'400-900R-F'!$A$5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'400-900R-F'!$A$9:$A$21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'400-900R-F'!$B$9:$B$21</c:f>
              <c:numCache>
                <c:formatCode>0.0000</c:formatCode>
                <c:ptCount val="13"/>
                <c:pt idx="0">
                  <c:v>54.3</c:v>
                </c:pt>
                <c:pt idx="1">
                  <c:v>53.22123634755566</c:v>
                </c:pt>
                <c:pt idx="2">
                  <c:v>52.245569806781255</c:v>
                </c:pt>
                <c:pt idx="3">
                  <c:v>46.598216124680064</c:v>
                </c:pt>
                <c:pt idx="4">
                  <c:v>40.537465397409534</c:v>
                </c:pt>
                <c:pt idx="5">
                  <c:v>33.399631371634094</c:v>
                </c:pt>
                <c:pt idx="6">
                  <c:v>26.279702160517104</c:v>
                </c:pt>
                <c:pt idx="7">
                  <c:v>23.055908562691634</c:v>
                </c:pt>
                <c:pt idx="8">
                  <c:v>19.756738027207419</c:v>
                </c:pt>
                <c:pt idx="9">
                  <c:v>15.946139712867335</c:v>
                </c:pt>
                <c:pt idx="10">
                  <c:v>10.878983427000009</c:v>
                </c:pt>
                <c:pt idx="11">
                  <c:v>6.8777239709687876</c:v>
                </c:pt>
                <c:pt idx="12">
                  <c:v>1.7660538239999255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E-4ED8-A545-0A336E236AB4}"/>
            </c:ext>
          </c:extLst>
        </c:ser>
        <c:ser>
          <c:idx val="1"/>
          <c:order val="1"/>
          <c:tx>
            <c:strRef>
              <c:f>'400-900R-F'!$D$6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'400-900R-F'!$A$11:$A$19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'400-900R-F'!$E$11:$E$19</c:f>
              <c:numCache>
                <c:formatCode>0.0000</c:formatCode>
                <c:ptCount val="9"/>
                <c:pt idx="0">
                  <c:v>54.956140493918511</c:v>
                </c:pt>
                <c:pt idx="1">
                  <c:v>49.294480775551101</c:v>
                </c:pt>
                <c:pt idx="2">
                  <c:v>43.360902274433364</c:v>
                </c:pt>
                <c:pt idx="3">
                  <c:v>36.332462867010086</c:v>
                </c:pt>
                <c:pt idx="4">
                  <c:v>29.142190385995498</c:v>
                </c:pt>
                <c:pt idx="5">
                  <c:v>25.883351678633328</c:v>
                </c:pt>
                <c:pt idx="6">
                  <c:v>22.670211021019703</c:v>
                </c:pt>
                <c:pt idx="7">
                  <c:v>19.232937014906632</c:v>
                </c:pt>
                <c:pt idx="8">
                  <c:v>15.06778191805973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FE-4ED8-A545-0A336E236AB4}"/>
            </c:ext>
          </c:extLst>
        </c:ser>
        <c:ser>
          <c:idx val="2"/>
          <c:order val="2"/>
          <c:tx>
            <c:strRef>
              <c:f>'400-900R-F'!$F$6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'400-900R-F'!$A$11:$A$19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'400-900R-F'!$G$11:$G$19</c:f>
              <c:numCache>
                <c:formatCode>0.0000</c:formatCode>
                <c:ptCount val="9"/>
                <c:pt idx="0">
                  <c:v>49.545116731677162</c:v>
                </c:pt>
                <c:pt idx="1">
                  <c:v>43.933824081786462</c:v>
                </c:pt>
                <c:pt idx="2">
                  <c:v>37.774785601973889</c:v>
                </c:pt>
                <c:pt idx="3">
                  <c:v>30.589236341325019</c:v>
                </c:pt>
                <c:pt idx="4">
                  <c:v>23.589097694949103</c:v>
                </c:pt>
                <c:pt idx="5">
                  <c:v>20.373858005058374</c:v>
                </c:pt>
                <c:pt idx="6">
                  <c:v>16.886386393688504</c:v>
                </c:pt>
                <c:pt idx="7">
                  <c:v>12.477690658235751</c:v>
                </c:pt>
                <c:pt idx="8">
                  <c:v>6.100804721708883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FE-4ED8-A545-0A336E236AB4}"/>
            </c:ext>
          </c:extLst>
        </c:ser>
        <c:ser>
          <c:idx val="3"/>
          <c:order val="3"/>
          <c:tx>
            <c:strRef>
              <c:f>'400-900R-F'!$T$56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'400-900R-F'!$T$60:$T$72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'400-900R-F'!$U$60:$U$72</c:f>
              <c:numCache>
                <c:formatCode>0.0000</c:formatCode>
                <c:ptCount val="13"/>
                <c:pt idx="0">
                  <c:v>35.618090000000002</c:v>
                </c:pt>
                <c:pt idx="1">
                  <c:v>38.071920265625003</c:v>
                </c:pt>
                <c:pt idx="2">
                  <c:v>37.418197124999992</c:v>
                </c:pt>
                <c:pt idx="3">
                  <c:v>-5.4772018839531285</c:v>
                </c:pt>
                <c:pt idx="4">
                  <c:v>34.208494152125013</c:v>
                </c:pt>
                <c:pt idx="5">
                  <c:v>366.17322622139079</c:v>
                </c:pt>
                <c:pt idx="6">
                  <c:v>1200.1149353120002</c:v>
                </c:pt>
                <c:pt idx="7">
                  <c:v>1838.5703777291253</c:v>
                </c:pt>
                <c:pt idx="8">
                  <c:v>2663.254794509</c:v>
                </c:pt>
                <c:pt idx="9">
                  <c:v>3697.1961671123754</c:v>
                </c:pt>
                <c:pt idx="10">
                  <c:v>4963.4224770000001</c:v>
                </c:pt>
                <c:pt idx="11">
                  <c:v>5826.0488498750001</c:v>
                </c:pt>
                <c:pt idx="12">
                  <c:v>6781.7059460000009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FE-4ED8-A545-0A336E236AB4}"/>
            </c:ext>
          </c:extLst>
        </c:ser>
        <c:ser>
          <c:idx val="4"/>
          <c:order val="4"/>
          <c:tx>
            <c:strRef>
              <c:f>'400-900R-F'!$H$56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'400-900R-F'!$I$60:$I$67</c:f>
              <c:numCache>
                <c:formatCode>0.00</c:formatCode>
                <c:ptCount val="8"/>
                <c:pt idx="0">
                  <c:v>14.78</c:v>
                </c:pt>
                <c:pt idx="1">
                  <c:v>703.64</c:v>
                </c:pt>
                <c:pt idx="2">
                  <c:v>807.08</c:v>
                </c:pt>
                <c:pt idx="3">
                  <c:v>912.17</c:v>
                </c:pt>
                <c:pt idx="4">
                  <c:v>1009.98</c:v>
                </c:pt>
                <c:pt idx="5">
                  <c:v>1082.0999999999999</c:v>
                </c:pt>
                <c:pt idx="6">
                  <c:v>1142.08</c:v>
                </c:pt>
                <c:pt idx="7">
                  <c:v>2033.3</c:v>
                </c:pt>
              </c:numCache>
            </c:numRef>
          </c:xVal>
          <c:yVal>
            <c:numRef>
              <c:f>'400-900R-F'!$L$60:$L$67</c:f>
              <c:numCache>
                <c:formatCode>0.00</c:formatCode>
                <c:ptCount val="8"/>
                <c:pt idx="0">
                  <c:v>35.869764705882353</c:v>
                </c:pt>
                <c:pt idx="1">
                  <c:v>34.992588235294114</c:v>
                </c:pt>
                <c:pt idx="2">
                  <c:v>32.917294117647053</c:v>
                </c:pt>
                <c:pt idx="3">
                  <c:v>31.318352941176471</c:v>
                </c:pt>
                <c:pt idx="4">
                  <c:v>29.196823529411766</c:v>
                </c:pt>
                <c:pt idx="5">
                  <c:v>27.342117647058824</c:v>
                </c:pt>
                <c:pt idx="6">
                  <c:v>25.161176470588234</c:v>
                </c:pt>
                <c:pt idx="7">
                  <c:v>0.1851764705882353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FE-4ED8-A545-0A336E236AB4}"/>
            </c:ext>
          </c:extLst>
        </c:ser>
        <c:ser>
          <c:idx val="5"/>
          <c:order val="5"/>
          <c:tx>
            <c:strRef>
              <c:f>'400-900R-F'!$J$8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'400-900R-F'!$J$9:$J$10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'400-900R-F'!$K$9:$K$10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FE-4ED8-A545-0A336E236AB4}"/>
            </c:ext>
          </c:extLst>
        </c:ser>
        <c:ser>
          <c:idx val="6"/>
          <c:order val="6"/>
          <c:tx>
            <c:strRef>
              <c:f>'400-900R-F'!$J$11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'400-900R-F'!$J$12:$J$13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'400-900R-F'!$K$12:$K$13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FE-4ED8-A545-0A336E236AB4}"/>
            </c:ext>
          </c:extLst>
        </c:ser>
        <c:ser>
          <c:idx val="7"/>
          <c:order val="7"/>
          <c:tx>
            <c:strRef>
              <c:f>'400-900R-F'!$J$14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'400-900R-F'!$J$15:$J$16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'400-900R-F'!$K$15:$K$16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FE-4ED8-A545-0A336E236AB4}"/>
            </c:ext>
          </c:extLst>
        </c:ser>
        <c:ser>
          <c:idx val="8"/>
          <c:order val="8"/>
          <c:tx>
            <c:strRef>
              <c:f>'400-900R-F'!$AA$5:$AD$5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'400-900R-F'!$AA$9:$AA$18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'400-900R-F'!$AB$9:$AB$18</c:f>
              <c:numCache>
                <c:formatCode>0.0000</c:formatCode>
                <c:ptCount val="10"/>
                <c:pt idx="0">
                  <c:v>55.159590000000001</c:v>
                </c:pt>
                <c:pt idx="1">
                  <c:v>55.59955494152539</c:v>
                </c:pt>
                <c:pt idx="2">
                  <c:v>55.549834901312501</c:v>
                </c:pt>
                <c:pt idx="3">
                  <c:v>47.073785384975046</c:v>
                </c:pt>
                <c:pt idx="4">
                  <c:v>35.710594502449737</c:v>
                </c:pt>
                <c:pt idx="5">
                  <c:v>27.815463777769857</c:v>
                </c:pt>
                <c:pt idx="6">
                  <c:v>21.108611150597142</c:v>
                </c:pt>
                <c:pt idx="7">
                  <c:v>16.425653627887826</c:v>
                </c:pt>
                <c:pt idx="8">
                  <c:v>9.663166424328665</c:v>
                </c:pt>
                <c:pt idx="9">
                  <c:v>9.4328034895823976E-2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FE-4ED8-A545-0A336E236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  <c:max val="1200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8.5043999923173158E-2"/>
          <c:w val="0.29811987307556703"/>
          <c:h val="0.81961322984669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BRAKE POWER - OD 400-900R-F</a:t>
            </a:r>
          </a:p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'400-900R-F'!$A$5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'400-900R-F'!$A$9:$A$21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'400-900R-F'!$C$9:$C$21</c:f>
              <c:numCache>
                <c:formatCode>0.0000</c:formatCode>
                <c:ptCount val="13"/>
                <c:pt idx="0">
                  <c:v>2.8245</c:v>
                </c:pt>
                <c:pt idx="1">
                  <c:v>2.767020703856836</c:v>
                </c:pt>
                <c:pt idx="2">
                  <c:v>2.7212485692937505</c:v>
                </c:pt>
                <c:pt idx="3">
                  <c:v>2.5884125314547242</c:v>
                </c:pt>
                <c:pt idx="4">
                  <c:v>2.5398848447232392</c:v>
                </c:pt>
                <c:pt idx="5">
                  <c:v>2.4580554235397249</c:v>
                </c:pt>
                <c:pt idx="6">
                  <c:v>2.3771875742807049</c:v>
                </c:pt>
                <c:pt idx="7">
                  <c:v>2.3464532565127567</c:v>
                </c:pt>
                <c:pt idx="8">
                  <c:v>2.308011977164421</c:v>
                </c:pt>
                <c:pt idx="9">
                  <c:v>2.2339832894354554</c:v>
                </c:pt>
                <c:pt idx="10">
                  <c:v>2.0764822614000007</c:v>
                </c:pt>
                <c:pt idx="11">
                  <c:v>1.9168084970062509</c:v>
                </c:pt>
                <c:pt idx="12">
                  <c:v>1.6844520287999956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F-46AF-A29E-23EDD5E2F6DA}"/>
            </c:ext>
          </c:extLst>
        </c:ser>
        <c:ser>
          <c:idx val="0"/>
          <c:order val="1"/>
          <c:tx>
            <c:strRef>
              <c:f>'400-900R-F'!$H$7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'400-900R-F'!$A$11:$A$19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'400-900R-F'!$H$11:$H$19</c:f>
              <c:numCache>
                <c:formatCode>0.0000</c:formatCode>
                <c:ptCount val="9"/>
                <c:pt idx="0">
                  <c:v>2.5035486837502505</c:v>
                </c:pt>
                <c:pt idx="1">
                  <c:v>2.3813395289383466</c:v>
                </c:pt>
                <c:pt idx="2">
                  <c:v>2.33669405714538</c:v>
                </c:pt>
                <c:pt idx="3">
                  <c:v>2.2614109896565471</c:v>
                </c:pt>
                <c:pt idx="4">
                  <c:v>2.1870125683382486</c:v>
                </c:pt>
                <c:pt idx="5">
                  <c:v>2.1587369959917364</c:v>
                </c:pt>
                <c:pt idx="6">
                  <c:v>2.1233710189912673</c:v>
                </c:pt>
                <c:pt idx="7">
                  <c:v>2.0552646262806191</c:v>
                </c:pt>
                <c:pt idx="8">
                  <c:v>1.9103636804880006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7F-46AF-A29E-23EDD5E2F6DA}"/>
            </c:ext>
          </c:extLst>
        </c:ser>
        <c:ser>
          <c:idx val="2"/>
          <c:order val="2"/>
          <c:tx>
            <c:strRef>
              <c:f>'400-900R-F'!$I$7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'400-900R-F'!$A$11:$A$19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'400-900R-F'!$I$11:$I$19</c:f>
              <c:numCache>
                <c:formatCode>0.0000</c:formatCode>
                <c:ptCount val="9"/>
                <c:pt idx="0">
                  <c:v>2.9389484548372509</c:v>
                </c:pt>
                <c:pt idx="1">
                  <c:v>2.7954855339711022</c:v>
                </c:pt>
                <c:pt idx="2">
                  <c:v>2.7430756323010983</c:v>
                </c:pt>
                <c:pt idx="3">
                  <c:v>2.6546998574229033</c:v>
                </c:pt>
                <c:pt idx="4">
                  <c:v>2.5673625802231617</c:v>
                </c:pt>
                <c:pt idx="5">
                  <c:v>2.5341695170337775</c:v>
                </c:pt>
                <c:pt idx="6">
                  <c:v>2.4926529353375746</c:v>
                </c:pt>
                <c:pt idx="7">
                  <c:v>2.4127019525902922</c:v>
                </c:pt>
                <c:pt idx="8">
                  <c:v>2.242600842312001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7F-46AF-A29E-23EDD5E2F6DA}"/>
            </c:ext>
          </c:extLst>
        </c:ser>
        <c:ser>
          <c:idx val="3"/>
          <c:order val="3"/>
          <c:tx>
            <c:strRef>
              <c:f>'400-900R-F'!$T$56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'400-900R-F'!$T$60:$T$72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'400-900R-F'!$V$60:$V$72</c:f>
              <c:numCache>
                <c:formatCode>0.0000</c:formatCode>
                <c:ptCount val="13"/>
                <c:pt idx="0">
                  <c:v>0.2139162</c:v>
                </c:pt>
                <c:pt idx="1">
                  <c:v>0.25981409734375005</c:v>
                </c:pt>
                <c:pt idx="2">
                  <c:v>0.29478125374999997</c:v>
                </c:pt>
                <c:pt idx="3">
                  <c:v>0.46552212478328137</c:v>
                </c:pt>
                <c:pt idx="4">
                  <c:v>1.1937221682787502</c:v>
                </c:pt>
                <c:pt idx="5">
                  <c:v>3.4510100933923442</c:v>
                </c:pt>
                <c:pt idx="6">
                  <c:v>8.2090146092800005</c:v>
                </c:pt>
                <c:pt idx="7">
                  <c:v>11.657276052908752</c:v>
                </c:pt>
                <c:pt idx="8">
                  <c:v>16.008513676710002</c:v>
                </c:pt>
                <c:pt idx="9">
                  <c:v>21.36942689697625</c:v>
                </c:pt>
                <c:pt idx="10">
                  <c:v>27.84671513</c:v>
                </c:pt>
                <c:pt idx="11">
                  <c:v>32.221375926249998</c:v>
                </c:pt>
                <c:pt idx="12">
                  <c:v>37.040963640000001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7F-46AF-A29E-23EDD5E2F6DA}"/>
            </c:ext>
          </c:extLst>
        </c:ser>
        <c:ser>
          <c:idx val="4"/>
          <c:order val="4"/>
          <c:tx>
            <c:strRef>
              <c:f>'400-900R-F'!$H$56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'400-900R-F'!$I$60:$I$67</c:f>
              <c:numCache>
                <c:formatCode>0.00</c:formatCode>
                <c:ptCount val="8"/>
                <c:pt idx="0">
                  <c:v>14.78</c:v>
                </c:pt>
                <c:pt idx="1">
                  <c:v>703.64</c:v>
                </c:pt>
                <c:pt idx="2">
                  <c:v>807.08</c:v>
                </c:pt>
                <c:pt idx="3">
                  <c:v>912.17</c:v>
                </c:pt>
                <c:pt idx="4">
                  <c:v>1009.98</c:v>
                </c:pt>
                <c:pt idx="5">
                  <c:v>1082.0999999999999</c:v>
                </c:pt>
                <c:pt idx="6">
                  <c:v>1142.08</c:v>
                </c:pt>
                <c:pt idx="7">
                  <c:v>2033.3</c:v>
                </c:pt>
              </c:numCache>
            </c:numRef>
          </c:xVal>
          <c:yVal>
            <c:numRef>
              <c:f>'400-900R-F'!$O$60:$O$67</c:f>
              <c:numCache>
                <c:formatCode>0.00</c:formatCode>
                <c:ptCount val="8"/>
                <c:pt idx="0">
                  <c:v>0.2171176470588235</c:v>
                </c:pt>
                <c:pt idx="1">
                  <c:v>0.31468235294117647</c:v>
                </c:pt>
                <c:pt idx="2">
                  <c:v>0.32743529411764705</c:v>
                </c:pt>
                <c:pt idx="3">
                  <c:v>0.33816470588235292</c:v>
                </c:pt>
                <c:pt idx="4">
                  <c:v>0.34543529411764706</c:v>
                </c:pt>
                <c:pt idx="5">
                  <c:v>0.34796470588235295</c:v>
                </c:pt>
                <c:pt idx="6">
                  <c:v>0.35174117647058822</c:v>
                </c:pt>
                <c:pt idx="7">
                  <c:v>0.43120000000000003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7F-46AF-A29E-23EDD5E2F6DA}"/>
            </c:ext>
          </c:extLst>
        </c:ser>
        <c:ser>
          <c:idx val="5"/>
          <c:order val="5"/>
          <c:tx>
            <c:strRef>
              <c:f>'400-900R-F'!$J$8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'400-900R-F'!$J$9:$J$10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'400-900R-F'!$L$9:$L$10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7F-46AF-A29E-23EDD5E2F6DA}"/>
            </c:ext>
          </c:extLst>
        </c:ser>
        <c:ser>
          <c:idx val="6"/>
          <c:order val="6"/>
          <c:tx>
            <c:strRef>
              <c:f>'400-900R-F'!$J$11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'400-900R-F'!$J$12:$J$13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'400-900R-F'!$L$12:$L$13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7F-46AF-A29E-23EDD5E2F6DA}"/>
            </c:ext>
          </c:extLst>
        </c:ser>
        <c:ser>
          <c:idx val="7"/>
          <c:order val="7"/>
          <c:tx>
            <c:strRef>
              <c:f>'400-900R-F'!$J$14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'400-900R-F'!$J$15:$J$16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'400-900R-F'!$L$15:$L$16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17F-46AF-A29E-23EDD5E2F6DA}"/>
            </c:ext>
          </c:extLst>
        </c:ser>
        <c:ser>
          <c:idx val="8"/>
          <c:order val="8"/>
          <c:tx>
            <c:strRef>
              <c:f>'400-900R-F'!$AA$5:$AD$5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'400-900R-F'!$AA$9:$AA$18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'400-900R-F'!$AC$9:$AC$18</c:f>
              <c:numCache>
                <c:formatCode>0.0000</c:formatCode>
                <c:ptCount val="10"/>
                <c:pt idx="0">
                  <c:v>2.8273730000000001</c:v>
                </c:pt>
                <c:pt idx="1">
                  <c:v>2.8598398731677634</c:v>
                </c:pt>
                <c:pt idx="2">
                  <c:v>2.8866248946184374</c:v>
                </c:pt>
                <c:pt idx="3">
                  <c:v>2.9198156570568128</c:v>
                </c:pt>
                <c:pt idx="4">
                  <c:v>2.7836878883631275</c:v>
                </c:pt>
                <c:pt idx="5">
                  <c:v>2.6868232072573641</c:v>
                </c:pt>
                <c:pt idx="6">
                  <c:v>2.7410720997602307</c:v>
                </c:pt>
                <c:pt idx="7">
                  <c:v>2.7809432250971549</c:v>
                </c:pt>
                <c:pt idx="8">
                  <c:v>2.7597513937590046</c:v>
                </c:pt>
                <c:pt idx="9">
                  <c:v>2.5863548884430276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17F-46AF-A29E-23EDD5E2F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  <c:max val="12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3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23302905047986966"/>
          <c:w val="0.22394875549398618"/>
          <c:h val="0.61526112184405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TDH test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3651049679161595"/>
                  <c:y val="-0.50648970140619709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'400-900R-F'!$I$60:$I$72</c:f>
              <c:numCache>
                <c:formatCode>0.00</c:formatCode>
                <c:ptCount val="13"/>
                <c:pt idx="0">
                  <c:v>14.78</c:v>
                </c:pt>
                <c:pt idx="1">
                  <c:v>703.64</c:v>
                </c:pt>
                <c:pt idx="2">
                  <c:v>807.08</c:v>
                </c:pt>
                <c:pt idx="3">
                  <c:v>912.17</c:v>
                </c:pt>
                <c:pt idx="4">
                  <c:v>1009.98</c:v>
                </c:pt>
                <c:pt idx="5">
                  <c:v>1082.0999999999999</c:v>
                </c:pt>
                <c:pt idx="6">
                  <c:v>1142.08</c:v>
                </c:pt>
                <c:pt idx="7">
                  <c:v>2033.3</c:v>
                </c:pt>
              </c:numCache>
            </c:numRef>
          </c:xVal>
          <c:yVal>
            <c:numRef>
              <c:f>'400-900R-F'!$L$60:$L$72</c:f>
              <c:numCache>
                <c:formatCode>0.00</c:formatCode>
                <c:ptCount val="13"/>
                <c:pt idx="0">
                  <c:v>35.869764705882353</c:v>
                </c:pt>
                <c:pt idx="1">
                  <c:v>34.992588235294114</c:v>
                </c:pt>
                <c:pt idx="2">
                  <c:v>32.917294117647053</c:v>
                </c:pt>
                <c:pt idx="3">
                  <c:v>31.318352941176471</c:v>
                </c:pt>
                <c:pt idx="4">
                  <c:v>29.196823529411766</c:v>
                </c:pt>
                <c:pt idx="5">
                  <c:v>27.342117647058824</c:v>
                </c:pt>
                <c:pt idx="6">
                  <c:v>25.161176470588234</c:v>
                </c:pt>
                <c:pt idx="7">
                  <c:v>0.1851764705882353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CE-4421-AF71-C5B1AE173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8.6585260285736057E-2"/>
                  <c:y val="-0.13546658567679917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'400-900R-F'!$I$60:$I$72</c:f>
              <c:numCache>
                <c:formatCode>0.00</c:formatCode>
                <c:ptCount val="13"/>
                <c:pt idx="0">
                  <c:v>14.78</c:v>
                </c:pt>
                <c:pt idx="1">
                  <c:v>703.64</c:v>
                </c:pt>
                <c:pt idx="2">
                  <c:v>807.08</c:v>
                </c:pt>
                <c:pt idx="3">
                  <c:v>912.17</c:v>
                </c:pt>
                <c:pt idx="4">
                  <c:v>1009.98</c:v>
                </c:pt>
                <c:pt idx="5">
                  <c:v>1082.0999999999999</c:v>
                </c:pt>
                <c:pt idx="6">
                  <c:v>1142.08</c:v>
                </c:pt>
                <c:pt idx="7">
                  <c:v>2033.3</c:v>
                </c:pt>
              </c:numCache>
            </c:numRef>
          </c:xVal>
          <c:yVal>
            <c:numRef>
              <c:f>'400-900R-F'!$O$60:$O$72</c:f>
              <c:numCache>
                <c:formatCode>0.00</c:formatCode>
                <c:ptCount val="13"/>
                <c:pt idx="0">
                  <c:v>0.2171176470588235</c:v>
                </c:pt>
                <c:pt idx="1">
                  <c:v>0.31468235294117647</c:v>
                </c:pt>
                <c:pt idx="2">
                  <c:v>0.32743529411764705</c:v>
                </c:pt>
                <c:pt idx="3">
                  <c:v>0.33816470588235292</c:v>
                </c:pt>
                <c:pt idx="4">
                  <c:v>0.34543529411764706</c:v>
                </c:pt>
                <c:pt idx="5">
                  <c:v>0.34796470588235295</c:v>
                </c:pt>
                <c:pt idx="6">
                  <c:v>0.35174117647058822</c:v>
                </c:pt>
                <c:pt idx="7">
                  <c:v>0.43120000000000003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AF-464C-ABAB-4BDEFD69A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EFFICIENCY - OD 400-900R-F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'400-900R-F'!$T$56:$W$56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75DBFF"/>
              </a:solidFill>
              <a:prstDash val="solid"/>
            </a:ln>
          </c:spPr>
          <c:marker>
            <c:symbol val="none"/>
          </c:marker>
          <c:xVal>
            <c:numRef>
              <c:f>'400-900R-F'!$T$62:$T$70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'400-900R-F'!$W$62:$W$70</c:f>
              <c:numCache>
                <c:formatCode>0.0</c:formatCode>
                <c:ptCount val="9"/>
                <c:pt idx="0">
                  <c:v>46.740312270365145</c:v>
                </c:pt>
                <c:pt idx="1">
                  <c:v>-19.712351366049489</c:v>
                </c:pt>
                <c:pt idx="2">
                  <c:v>85.472091151106255</c:v>
                </c:pt>
                <c:pt idx="3">
                  <c:v>455.17132552680732</c:v>
                </c:pt>
                <c:pt idx="4">
                  <c:v>818.24622910959454</c:v>
                </c:pt>
                <c:pt idx="5">
                  <c:v>981.47331208978085</c:v>
                </c:pt>
                <c:pt idx="6">
                  <c:v>1139.4184907256256</c:v>
                </c:pt>
                <c:pt idx="7">
                  <c:v>1293.2553080834293</c:v>
                </c:pt>
                <c:pt idx="8">
                  <c:v>1443.9048144915009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A8-49C8-B325-85F94C039BCC}"/>
            </c:ext>
          </c:extLst>
        </c:ser>
        <c:ser>
          <c:idx val="1"/>
          <c:order val="1"/>
          <c:tx>
            <c:strRef>
              <c:f>'400-900R-F'!$X$57:$AB$57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'400-900R-F'!$T$66</c:f>
              <c:numCache>
                <c:formatCode>0</c:formatCode>
                <c:ptCount val="1"/>
                <c:pt idx="0">
                  <c:v>7600</c:v>
                </c:pt>
              </c:numCache>
            </c:numRef>
          </c:xVal>
          <c:yVal>
            <c:numRef>
              <c:f>'400-900R-F'!$AB$66</c:f>
              <c:numCache>
                <c:formatCode>0.0</c:formatCode>
                <c:ptCount val="1"/>
                <c:pt idx="0">
                  <c:v>55.693060246852674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A8-49C8-B325-85F94C039BCC}"/>
            </c:ext>
          </c:extLst>
        </c:ser>
        <c:ser>
          <c:idx val="2"/>
          <c:order val="2"/>
          <c:tx>
            <c:strRef>
              <c:f>'400-900R-F'!$Q$56:$S$56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'400-900R-F'!$T$66</c:f>
              <c:numCache>
                <c:formatCode>0</c:formatCode>
                <c:ptCount val="1"/>
                <c:pt idx="0">
                  <c:v>7600</c:v>
                </c:pt>
              </c:numCache>
            </c:numRef>
          </c:xVal>
          <c:yVal>
            <c:numRef>
              <c:f>'400-900R-F'!$I$3</c:f>
              <c:numCache>
                <c:formatCode>0.0</c:formatCode>
                <c:ptCount val="1"/>
                <c:pt idx="0">
                  <c:v>61.881178052058523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A8-49C8-B325-85F94C039BCC}"/>
            </c:ext>
          </c:extLst>
        </c:ser>
        <c:ser>
          <c:idx val="3"/>
          <c:order val="3"/>
          <c:tx>
            <c:strRef>
              <c:f>'400-900R-F'!$J$8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'400-900R-F'!$J$9:$J$10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'400-900R-F'!$M$9:$M$10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A8-49C8-B325-85F94C039BCC}"/>
            </c:ext>
          </c:extLst>
        </c:ser>
        <c:ser>
          <c:idx val="5"/>
          <c:order val="4"/>
          <c:tx>
            <c:strRef>
              <c:f>'400-900R-F'!$J$14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'400-900R-F'!$J$15:$J$16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'400-900R-F'!$M$15:$M$16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A8-49C8-B325-85F94C039BCC}"/>
            </c:ext>
          </c:extLst>
        </c:ser>
        <c:ser>
          <c:idx val="4"/>
          <c:order val="5"/>
          <c:tx>
            <c:strRef>
              <c:f>'400-900R-F'!$J$11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'400-900R-F'!$J$12:$J$13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'400-900R-F'!$M$12:$M$13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A8-49C8-B325-85F94C039BCC}"/>
            </c:ext>
          </c:extLst>
        </c:ser>
        <c:ser>
          <c:idx val="6"/>
          <c:order val="6"/>
          <c:tx>
            <c:strRef>
              <c:f>'400-900R-F'!$AA$5:$AD$5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'400-900R-F'!$AA$9:$AA$18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'400-900R-F'!$AD$9:$AD$18</c:f>
              <c:numCache>
                <c:formatCode>0.00</c:formatCode>
                <c:ptCount val="10"/>
                <c:pt idx="0">
                  <c:v>3.72368E-2</c:v>
                </c:pt>
                <c:pt idx="1">
                  <c:v>3.8849567373818363</c:v>
                </c:pt>
                <c:pt idx="2">
                  <c:v>7.4926299287187508</c:v>
                </c:pt>
                <c:pt idx="3">
                  <c:v>26.943121119263353</c:v>
                </c:pt>
                <c:pt idx="4">
                  <c:v>38.365410167951239</c:v>
                </c:pt>
                <c:pt idx="5">
                  <c:v>44.540327376631247</c:v>
                </c:pt>
                <c:pt idx="6">
                  <c:v>43.13951378781185</c:v>
                </c:pt>
                <c:pt idx="7">
                  <c:v>36.788234694086555</c:v>
                </c:pt>
                <c:pt idx="8">
                  <c:v>23.826781799237864</c:v>
                </c:pt>
                <c:pt idx="9">
                  <c:v>1.0538681326821688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A8-49C8-B325-85F94C039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1813200904005026"/>
          <c:h val="0.326662017778910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TDH - OD 400-1200R-F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'400-1200R-F'!$A$5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'400-1200R-F'!$A$9:$A$21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'400-1200R-F'!$B$9:$B$21</c:f>
              <c:numCache>
                <c:formatCode>0.0000</c:formatCode>
                <c:ptCount val="13"/>
                <c:pt idx="0">
                  <c:v>54.3</c:v>
                </c:pt>
                <c:pt idx="1">
                  <c:v>53.22123634755566</c:v>
                </c:pt>
                <c:pt idx="2">
                  <c:v>52.245569806781255</c:v>
                </c:pt>
                <c:pt idx="3">
                  <c:v>46.598216124680064</c:v>
                </c:pt>
                <c:pt idx="4">
                  <c:v>40.537465397409534</c:v>
                </c:pt>
                <c:pt idx="5">
                  <c:v>33.399631371634094</c:v>
                </c:pt>
                <c:pt idx="6">
                  <c:v>26.279702160517104</c:v>
                </c:pt>
                <c:pt idx="7">
                  <c:v>23.055908562691634</c:v>
                </c:pt>
                <c:pt idx="8">
                  <c:v>19.756738027207419</c:v>
                </c:pt>
                <c:pt idx="9">
                  <c:v>15.946139712867335</c:v>
                </c:pt>
                <c:pt idx="10">
                  <c:v>10.878983427000009</c:v>
                </c:pt>
                <c:pt idx="11">
                  <c:v>6.8777239709687876</c:v>
                </c:pt>
                <c:pt idx="12">
                  <c:v>1.7660538239999255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20-4019-B4E3-3B0414932102}"/>
            </c:ext>
          </c:extLst>
        </c:ser>
        <c:ser>
          <c:idx val="1"/>
          <c:order val="1"/>
          <c:tx>
            <c:strRef>
              <c:f>'400-1200R-F'!$D$6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'400-1200R-F'!$A$11:$A$19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'400-1200R-F'!$E$11:$E$19</c:f>
              <c:numCache>
                <c:formatCode>0.0000</c:formatCode>
                <c:ptCount val="9"/>
                <c:pt idx="0">
                  <c:v>54.956140493918511</c:v>
                </c:pt>
                <c:pt idx="1">
                  <c:v>49.294480775551101</c:v>
                </c:pt>
                <c:pt idx="2">
                  <c:v>43.360902274433364</c:v>
                </c:pt>
                <c:pt idx="3">
                  <c:v>36.332462867010086</c:v>
                </c:pt>
                <c:pt idx="4">
                  <c:v>29.142190385995498</c:v>
                </c:pt>
                <c:pt idx="5">
                  <c:v>25.883351678633328</c:v>
                </c:pt>
                <c:pt idx="6">
                  <c:v>22.670211021019703</c:v>
                </c:pt>
                <c:pt idx="7">
                  <c:v>19.232937014906632</c:v>
                </c:pt>
                <c:pt idx="8">
                  <c:v>15.06778191805973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20-4019-B4E3-3B0414932102}"/>
            </c:ext>
          </c:extLst>
        </c:ser>
        <c:ser>
          <c:idx val="2"/>
          <c:order val="2"/>
          <c:tx>
            <c:strRef>
              <c:f>'400-1200R-F'!$F$6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'400-1200R-F'!$A$11:$A$19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'400-1200R-F'!$G$11:$G$19</c:f>
              <c:numCache>
                <c:formatCode>0.0000</c:formatCode>
                <c:ptCount val="9"/>
                <c:pt idx="0">
                  <c:v>49.545116731677162</c:v>
                </c:pt>
                <c:pt idx="1">
                  <c:v>43.933824081786462</c:v>
                </c:pt>
                <c:pt idx="2">
                  <c:v>37.774785601973889</c:v>
                </c:pt>
                <c:pt idx="3">
                  <c:v>30.589236341325019</c:v>
                </c:pt>
                <c:pt idx="4">
                  <c:v>23.589097694949103</c:v>
                </c:pt>
                <c:pt idx="5">
                  <c:v>20.373858005058374</c:v>
                </c:pt>
                <c:pt idx="6">
                  <c:v>16.886386393688504</c:v>
                </c:pt>
                <c:pt idx="7">
                  <c:v>12.477690658235751</c:v>
                </c:pt>
                <c:pt idx="8">
                  <c:v>6.100804721708883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20-4019-B4E3-3B0414932102}"/>
            </c:ext>
          </c:extLst>
        </c:ser>
        <c:ser>
          <c:idx val="3"/>
          <c:order val="3"/>
          <c:tx>
            <c:strRef>
              <c:f>'400-1200R-F'!$T$56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'400-1200R-F'!$T$60:$T$72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'400-1200R-F'!$U$60:$U$72</c:f>
              <c:numCache>
                <c:formatCode>0.0000</c:formatCode>
                <c:ptCount val="13"/>
                <c:pt idx="0">
                  <c:v>36.152349999999998</c:v>
                </c:pt>
                <c:pt idx="1">
                  <c:v>36.100819330078124</c:v>
                </c:pt>
                <c:pt idx="2">
                  <c:v>36.3438091875</c:v>
                </c:pt>
                <c:pt idx="3">
                  <c:v>-8.8016095106786452</c:v>
                </c:pt>
                <c:pt idx="4">
                  <c:v>-384.64484503393442</c:v>
                </c:pt>
                <c:pt idx="5">
                  <c:v>-3412.0337839454132</c:v>
                </c:pt>
                <c:pt idx="6">
                  <c:v>-16825.759266086403</c:v>
                </c:pt>
                <c:pt idx="7">
                  <c:v>-31366.458458691166</c:v>
                </c:pt>
                <c:pt idx="8">
                  <c:v>-54687.990705763703</c:v>
                </c:pt>
                <c:pt idx="9">
                  <c:v>-90295.036532072045</c:v>
                </c:pt>
                <c:pt idx="10">
                  <c:v>-142521.97205099999</c:v>
                </c:pt>
                <c:pt idx="11">
                  <c:v>-183083.35163493745</c:v>
                </c:pt>
                <c:pt idx="12">
                  <c:v>-232422.75198200002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20-4019-B4E3-3B0414932102}"/>
            </c:ext>
          </c:extLst>
        </c:ser>
        <c:ser>
          <c:idx val="4"/>
          <c:order val="4"/>
          <c:tx>
            <c:strRef>
              <c:f>'400-1200R-F'!$H$56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'400-1200R-F'!$I$60:$I$67</c:f>
              <c:numCache>
                <c:formatCode>0.00</c:formatCode>
                <c:ptCount val="8"/>
                <c:pt idx="0">
                  <c:v>30.41</c:v>
                </c:pt>
                <c:pt idx="1">
                  <c:v>889.76</c:v>
                </c:pt>
                <c:pt idx="2">
                  <c:v>1082.22</c:v>
                </c:pt>
                <c:pt idx="3">
                  <c:v>1202.1500000000001</c:v>
                </c:pt>
                <c:pt idx="4">
                  <c:v>1373.73</c:v>
                </c:pt>
                <c:pt idx="5">
                  <c:v>1490.7</c:v>
                </c:pt>
                <c:pt idx="6">
                  <c:v>1624.74</c:v>
                </c:pt>
                <c:pt idx="7">
                  <c:v>2102.02</c:v>
                </c:pt>
              </c:numCache>
            </c:numRef>
          </c:xVal>
          <c:yVal>
            <c:numRef>
              <c:f>'400-1200R-F'!$L$60:$L$67</c:f>
              <c:numCache>
                <c:formatCode>0.00</c:formatCode>
                <c:ptCount val="8"/>
                <c:pt idx="0">
                  <c:v>36.068703703703704</c:v>
                </c:pt>
                <c:pt idx="1">
                  <c:v>34.443148148148147</c:v>
                </c:pt>
                <c:pt idx="2">
                  <c:v>32.114629629629633</c:v>
                </c:pt>
                <c:pt idx="3">
                  <c:v>29.755925925925926</c:v>
                </c:pt>
                <c:pt idx="4">
                  <c:v>25.948703703703703</c:v>
                </c:pt>
                <c:pt idx="5">
                  <c:v>23.193888888888889</c:v>
                </c:pt>
                <c:pt idx="6">
                  <c:v>18.891481481481481</c:v>
                </c:pt>
                <c:pt idx="7">
                  <c:v>0.16592592592592595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20-4019-B4E3-3B0414932102}"/>
            </c:ext>
          </c:extLst>
        </c:ser>
        <c:ser>
          <c:idx val="5"/>
          <c:order val="5"/>
          <c:tx>
            <c:strRef>
              <c:f>'400-1200R-F'!$J$8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'400-1200R-F'!$J$9:$J$10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'400-1200R-F'!$K$9:$K$10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20-4019-B4E3-3B0414932102}"/>
            </c:ext>
          </c:extLst>
        </c:ser>
        <c:ser>
          <c:idx val="6"/>
          <c:order val="6"/>
          <c:tx>
            <c:strRef>
              <c:f>'400-1200R-F'!$J$11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'400-1200R-F'!$J$12:$J$13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'400-1200R-F'!$K$12:$K$13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20-4019-B4E3-3B0414932102}"/>
            </c:ext>
          </c:extLst>
        </c:ser>
        <c:ser>
          <c:idx val="7"/>
          <c:order val="7"/>
          <c:tx>
            <c:strRef>
              <c:f>'400-1200R-F'!$J$14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'400-1200R-F'!$J$15:$J$16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'400-1200R-F'!$K$15:$K$16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20-4019-B4E3-3B0414932102}"/>
            </c:ext>
          </c:extLst>
        </c:ser>
        <c:ser>
          <c:idx val="8"/>
          <c:order val="8"/>
          <c:tx>
            <c:strRef>
              <c:f>'400-1200R-F'!$AA$5:$AD$5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'400-1200R-F'!$AA$9:$AA$18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'400-1200R-F'!$AB$9:$AB$18</c:f>
              <c:numCache>
                <c:formatCode>0.0000</c:formatCode>
                <c:ptCount val="10"/>
                <c:pt idx="0">
                  <c:v>55.159590000000001</c:v>
                </c:pt>
                <c:pt idx="1">
                  <c:v>55.59955494152539</c:v>
                </c:pt>
                <c:pt idx="2">
                  <c:v>55.549834901312501</c:v>
                </c:pt>
                <c:pt idx="3">
                  <c:v>47.073785384975046</c:v>
                </c:pt>
                <c:pt idx="4">
                  <c:v>35.710594502449737</c:v>
                </c:pt>
                <c:pt idx="5">
                  <c:v>27.815463777769857</c:v>
                </c:pt>
                <c:pt idx="6">
                  <c:v>21.108611150597142</c:v>
                </c:pt>
                <c:pt idx="7">
                  <c:v>16.425653627887826</c:v>
                </c:pt>
                <c:pt idx="8">
                  <c:v>9.663166424328665</c:v>
                </c:pt>
                <c:pt idx="9">
                  <c:v>9.4328034895823976E-2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20-4019-B4E3-3B0414932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  <c:max val="1200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8.5043999923173158E-2"/>
          <c:w val="0.29811987307556703"/>
          <c:h val="0.81961322984669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BRAKE POWER - OD 400-1200R-F</a:t>
            </a:r>
          </a:p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'400-1200R-F'!$A$5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'400-1200R-F'!$A$9:$A$21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'400-1200R-F'!$C$9:$C$21</c:f>
              <c:numCache>
                <c:formatCode>0.0000</c:formatCode>
                <c:ptCount val="13"/>
                <c:pt idx="0">
                  <c:v>2.8245</c:v>
                </c:pt>
                <c:pt idx="1">
                  <c:v>2.767020703856836</c:v>
                </c:pt>
                <c:pt idx="2">
                  <c:v>2.7212485692937505</c:v>
                </c:pt>
                <c:pt idx="3">
                  <c:v>2.5884125314547242</c:v>
                </c:pt>
                <c:pt idx="4">
                  <c:v>2.5398848447232392</c:v>
                </c:pt>
                <c:pt idx="5">
                  <c:v>2.4580554235397249</c:v>
                </c:pt>
                <c:pt idx="6">
                  <c:v>2.3771875742807049</c:v>
                </c:pt>
                <c:pt idx="7">
                  <c:v>2.3464532565127567</c:v>
                </c:pt>
                <c:pt idx="8">
                  <c:v>2.308011977164421</c:v>
                </c:pt>
                <c:pt idx="9">
                  <c:v>2.2339832894354554</c:v>
                </c:pt>
                <c:pt idx="10">
                  <c:v>2.0764822614000007</c:v>
                </c:pt>
                <c:pt idx="11">
                  <c:v>1.9168084970062509</c:v>
                </c:pt>
                <c:pt idx="12">
                  <c:v>1.6844520287999956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79-4EA8-866E-7B8EE7E16CA1}"/>
            </c:ext>
          </c:extLst>
        </c:ser>
        <c:ser>
          <c:idx val="0"/>
          <c:order val="1"/>
          <c:tx>
            <c:strRef>
              <c:f>'400-1200R-F'!$H$7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'400-1200R-F'!$A$11:$A$19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'400-1200R-F'!$H$11:$H$19</c:f>
              <c:numCache>
                <c:formatCode>0.0000</c:formatCode>
                <c:ptCount val="9"/>
                <c:pt idx="0">
                  <c:v>2.5035486837502505</c:v>
                </c:pt>
                <c:pt idx="1">
                  <c:v>2.3813395289383466</c:v>
                </c:pt>
                <c:pt idx="2">
                  <c:v>2.33669405714538</c:v>
                </c:pt>
                <c:pt idx="3">
                  <c:v>2.2614109896565471</c:v>
                </c:pt>
                <c:pt idx="4">
                  <c:v>2.1870125683382486</c:v>
                </c:pt>
                <c:pt idx="5">
                  <c:v>2.1587369959917364</c:v>
                </c:pt>
                <c:pt idx="6">
                  <c:v>2.1233710189912673</c:v>
                </c:pt>
                <c:pt idx="7">
                  <c:v>2.0552646262806191</c:v>
                </c:pt>
                <c:pt idx="8">
                  <c:v>1.9103636804880006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79-4EA8-866E-7B8EE7E16CA1}"/>
            </c:ext>
          </c:extLst>
        </c:ser>
        <c:ser>
          <c:idx val="2"/>
          <c:order val="2"/>
          <c:tx>
            <c:strRef>
              <c:f>'400-1200R-F'!$I$7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'400-1200R-F'!$A$11:$A$19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'400-1200R-F'!$I$11:$I$19</c:f>
              <c:numCache>
                <c:formatCode>0.0000</c:formatCode>
                <c:ptCount val="9"/>
                <c:pt idx="0">
                  <c:v>2.9389484548372509</c:v>
                </c:pt>
                <c:pt idx="1">
                  <c:v>2.7954855339711022</c:v>
                </c:pt>
                <c:pt idx="2">
                  <c:v>2.7430756323010983</c:v>
                </c:pt>
                <c:pt idx="3">
                  <c:v>2.6546998574229033</c:v>
                </c:pt>
                <c:pt idx="4">
                  <c:v>2.5673625802231617</c:v>
                </c:pt>
                <c:pt idx="5">
                  <c:v>2.5341695170337775</c:v>
                </c:pt>
                <c:pt idx="6">
                  <c:v>2.4926529353375746</c:v>
                </c:pt>
                <c:pt idx="7">
                  <c:v>2.4127019525902922</c:v>
                </c:pt>
                <c:pt idx="8">
                  <c:v>2.242600842312001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79-4EA8-866E-7B8EE7E16CA1}"/>
            </c:ext>
          </c:extLst>
        </c:ser>
        <c:ser>
          <c:idx val="3"/>
          <c:order val="3"/>
          <c:tx>
            <c:strRef>
              <c:f>'400-1200R-F'!$T$56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'400-1200R-F'!$T$60:$T$72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'400-1200R-F'!$V$60:$V$72</c:f>
              <c:numCache>
                <c:formatCode>0.0000</c:formatCode>
                <c:ptCount val="13"/>
                <c:pt idx="0">
                  <c:v>0.2451998</c:v>
                </c:pt>
                <c:pt idx="1">
                  <c:v>0.27537393752929684</c:v>
                </c:pt>
                <c:pt idx="2">
                  <c:v>0.32973610718750002</c:v>
                </c:pt>
                <c:pt idx="3">
                  <c:v>0.58740285924772007</c:v>
                </c:pt>
                <c:pt idx="4">
                  <c:v>-0.3992836101821382</c:v>
                </c:pt>
                <c:pt idx="5">
                  <c:v>-39.732878702400626</c:v>
                </c:pt>
                <c:pt idx="6">
                  <c:v>-261.59284720377605</c:v>
                </c:pt>
                <c:pt idx="7">
                  <c:v>-518.86732070988307</c:v>
                </c:pt>
                <c:pt idx="8">
                  <c:v>-943.89054974900068</c:v>
                </c:pt>
                <c:pt idx="9">
                  <c:v>-1606.9706095574334</c:v>
                </c:pt>
                <c:pt idx="10">
                  <c:v>-2595.6240846700007</c:v>
                </c:pt>
                <c:pt idx="11">
                  <c:v>-3371.3828718721866</c:v>
                </c:pt>
                <c:pt idx="12">
                  <c:v>-4321.3098240399995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79-4EA8-866E-7B8EE7E16CA1}"/>
            </c:ext>
          </c:extLst>
        </c:ser>
        <c:ser>
          <c:idx val="4"/>
          <c:order val="4"/>
          <c:tx>
            <c:strRef>
              <c:f>'400-1200R-F'!$H$56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'400-1200R-F'!$I$60:$I$67</c:f>
              <c:numCache>
                <c:formatCode>0.00</c:formatCode>
                <c:ptCount val="8"/>
                <c:pt idx="0">
                  <c:v>30.41</c:v>
                </c:pt>
                <c:pt idx="1">
                  <c:v>889.76</c:v>
                </c:pt>
                <c:pt idx="2">
                  <c:v>1082.22</c:v>
                </c:pt>
                <c:pt idx="3">
                  <c:v>1202.1500000000001</c:v>
                </c:pt>
                <c:pt idx="4">
                  <c:v>1373.73</c:v>
                </c:pt>
                <c:pt idx="5">
                  <c:v>1490.7</c:v>
                </c:pt>
                <c:pt idx="6">
                  <c:v>1624.74</c:v>
                </c:pt>
                <c:pt idx="7">
                  <c:v>2102.02</c:v>
                </c:pt>
              </c:numCache>
            </c:numRef>
          </c:xVal>
          <c:yVal>
            <c:numRef>
              <c:f>'400-1200R-F'!$O$60:$O$67</c:f>
              <c:numCache>
                <c:formatCode>0.00</c:formatCode>
                <c:ptCount val="8"/>
                <c:pt idx="0">
                  <c:v>0.24616666666666664</c:v>
                </c:pt>
                <c:pt idx="1">
                  <c:v>0.40148148148148149</c:v>
                </c:pt>
                <c:pt idx="2">
                  <c:v>0.42433333333333334</c:v>
                </c:pt>
                <c:pt idx="3">
                  <c:v>0.43061111111111111</c:v>
                </c:pt>
                <c:pt idx="4">
                  <c:v>0.44120370370370371</c:v>
                </c:pt>
                <c:pt idx="5">
                  <c:v>0.44981481481481478</c:v>
                </c:pt>
                <c:pt idx="6">
                  <c:v>0.45683333333333337</c:v>
                </c:pt>
                <c:pt idx="7">
                  <c:v>0.53442592592592597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79-4EA8-866E-7B8EE7E16CA1}"/>
            </c:ext>
          </c:extLst>
        </c:ser>
        <c:ser>
          <c:idx val="5"/>
          <c:order val="5"/>
          <c:tx>
            <c:strRef>
              <c:f>'400-1200R-F'!$J$8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'400-1200R-F'!$J$9:$J$10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'400-1200R-F'!$L$9:$L$10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79-4EA8-866E-7B8EE7E16CA1}"/>
            </c:ext>
          </c:extLst>
        </c:ser>
        <c:ser>
          <c:idx val="6"/>
          <c:order val="6"/>
          <c:tx>
            <c:strRef>
              <c:f>'400-1200R-F'!$J$11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'400-1200R-F'!$J$12:$J$13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'400-1200R-F'!$L$12:$L$13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79-4EA8-866E-7B8EE7E16CA1}"/>
            </c:ext>
          </c:extLst>
        </c:ser>
        <c:ser>
          <c:idx val="7"/>
          <c:order val="7"/>
          <c:tx>
            <c:strRef>
              <c:f>'400-1200R-F'!$J$14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'400-1200R-F'!$J$15:$J$16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'400-1200R-F'!$L$15:$L$16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79-4EA8-866E-7B8EE7E16CA1}"/>
            </c:ext>
          </c:extLst>
        </c:ser>
        <c:ser>
          <c:idx val="8"/>
          <c:order val="8"/>
          <c:tx>
            <c:strRef>
              <c:f>'400-1200R-F'!$AA$5:$AD$5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'400-1200R-F'!$AA$9:$AA$18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'400-1200R-F'!$AC$9:$AC$18</c:f>
              <c:numCache>
                <c:formatCode>0.0000</c:formatCode>
                <c:ptCount val="10"/>
                <c:pt idx="0">
                  <c:v>2.8273730000000001</c:v>
                </c:pt>
                <c:pt idx="1">
                  <c:v>2.8598398731677634</c:v>
                </c:pt>
                <c:pt idx="2">
                  <c:v>2.8866248946184374</c:v>
                </c:pt>
                <c:pt idx="3">
                  <c:v>2.9198156570568128</c:v>
                </c:pt>
                <c:pt idx="4">
                  <c:v>2.7836878883631275</c:v>
                </c:pt>
                <c:pt idx="5">
                  <c:v>2.6868232072573641</c:v>
                </c:pt>
                <c:pt idx="6">
                  <c:v>2.7410720997602307</c:v>
                </c:pt>
                <c:pt idx="7">
                  <c:v>2.7809432250971549</c:v>
                </c:pt>
                <c:pt idx="8">
                  <c:v>2.7597513937590046</c:v>
                </c:pt>
                <c:pt idx="9">
                  <c:v>2.5863548884430276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79-4EA8-866E-7B8EE7E16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  <c:max val="12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3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23302905047986966"/>
          <c:w val="0.22394875549398618"/>
          <c:h val="0.61526112184405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TDH - RC12 ODI sheet marked "B"</a:t>
            </a:r>
            <a:br>
              <a:rPr lang="en-CA" sz="1800" b="1" i="0" baseline="0">
                <a:effectLst/>
              </a:rPr>
            </a:b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"B" original mm'!$A$5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"B" original mm'!$A$9:$A$21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"B" original mm'!$B$9:$B$21</c:f>
              <c:numCache>
                <c:formatCode>0.0000</c:formatCode>
                <c:ptCount val="13"/>
                <c:pt idx="0">
                  <c:v>34.578919999999997</c:v>
                </c:pt>
                <c:pt idx="1">
                  <c:v>34.024158746931249</c:v>
                </c:pt>
                <c:pt idx="2">
                  <c:v>32.470848099800001</c:v>
                </c:pt>
                <c:pt idx="3">
                  <c:v>31.689462103857611</c:v>
                </c:pt>
                <c:pt idx="4">
                  <c:v>30.623455699956246</c:v>
                </c:pt>
                <c:pt idx="5">
                  <c:v>29.130005821933786</c:v>
                </c:pt>
                <c:pt idx="6">
                  <c:v>27.062060604799996</c:v>
                </c:pt>
                <c:pt idx="7">
                  <c:v>24.285252983369322</c:v>
                </c:pt>
                <c:pt idx="8">
                  <c:v>20.694814290893756</c:v>
                </c:pt>
                <c:pt idx="9">
                  <c:v>16.232487857695538</c:v>
                </c:pt>
                <c:pt idx="10">
                  <c:v>10.90344260980001</c:v>
                </c:pt>
                <c:pt idx="11">
                  <c:v>6.0704990191999997</c:v>
                </c:pt>
                <c:pt idx="12">
                  <c:v>0.82352819660003718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EA-46C1-8181-C2E8625E48C3}"/>
            </c:ext>
          </c:extLst>
        </c:ser>
        <c:ser>
          <c:idx val="1"/>
          <c:order val="1"/>
          <c:tx>
            <c:strRef>
              <c:f>'RC12 "B" original mm'!$D$6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"B" original 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"B" original mm'!$E$11:$E$19</c:f>
              <c:numCache>
                <c:formatCode>0.0000</c:formatCode>
                <c:ptCount val="9"/>
                <c:pt idx="0">
                  <c:v>34.288794150098845</c:v>
                </c:pt>
                <c:pt idx="1">
                  <c:v>33.570838087227592</c:v>
                </c:pt>
                <c:pt idx="2">
                  <c:v>32.624426296334313</c:v>
                </c:pt>
                <c:pt idx="3">
                  <c:v>31.325811230879737</c:v>
                </c:pt>
                <c:pt idx="4">
                  <c:v>29.542132025608542</c:v>
                </c:pt>
                <c:pt idx="5">
                  <c:v>27.145156287766291</c:v>
                </c:pt>
                <c:pt idx="6">
                  <c:v>24.025021888316367</c:v>
                </c:pt>
                <c:pt idx="7">
                  <c:v>20.103978753156863</c:v>
                </c:pt>
                <c:pt idx="8">
                  <c:v>15.350130654337521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EA-46C1-8181-C2E8625E48C3}"/>
            </c:ext>
          </c:extLst>
        </c:ser>
        <c:ser>
          <c:idx val="2"/>
          <c:order val="2"/>
          <c:tx>
            <c:strRef>
              <c:f>'RC12 "B" original mm'!$F$6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"B" original 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"B" original mm'!$G$11:$G$19</c:f>
              <c:numCache>
                <c:formatCode>0.0000</c:formatCode>
                <c:ptCount val="9"/>
                <c:pt idx="0">
                  <c:v>30.659498613341036</c:v>
                </c:pt>
                <c:pt idx="1">
                  <c:v>29.807079605037579</c:v>
                </c:pt>
                <c:pt idx="2">
                  <c:v>28.608632418103369</c:v>
                </c:pt>
                <c:pt idx="3">
                  <c:v>26.903546098432454</c:v>
                </c:pt>
                <c:pt idx="4">
                  <c:v>24.533748216213777</c:v>
                </c:pt>
                <c:pt idx="5">
                  <c:v>21.36421205431725</c:v>
                </c:pt>
                <c:pt idx="6">
                  <c:v>17.303463796679726</c:v>
                </c:pt>
                <c:pt idx="7">
                  <c:v>12.324089716691173</c:v>
                </c:pt>
                <c:pt idx="8">
                  <c:v>6.4832433655806634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EA-46C1-8181-C2E8625E48C3}"/>
            </c:ext>
          </c:extLst>
        </c:ser>
        <c:ser>
          <c:idx val="3"/>
          <c:order val="3"/>
          <c:tx>
            <c:strRef>
              <c:f>'RC12 "B" original mm'!$T$56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"B" original mm'!$T$60:$T$72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"B" original mm'!$U$60:$U$72</c:f>
              <c:numCache>
                <c:formatCode>0.0000</c:formatCode>
                <c:ptCount val="13"/>
                <c:pt idx="0">
                  <c:v>33.794460000000001</c:v>
                </c:pt>
                <c:pt idx="1">
                  <c:v>34.354900929337191</c:v>
                </c:pt>
                <c:pt idx="2">
                  <c:v>34.51272253778999</c:v>
                </c:pt>
                <c:pt idx="3">
                  <c:v>34.119181002032434</c:v>
                </c:pt>
                <c:pt idx="4">
                  <c:v>33.233779162375939</c:v>
                </c:pt>
                <c:pt idx="5">
                  <c:v>31.698514184140343</c:v>
                </c:pt>
                <c:pt idx="6">
                  <c:v>29.388394487040003</c:v>
                </c:pt>
                <c:pt idx="7">
                  <c:v>26.234995520330287</c:v>
                </c:pt>
                <c:pt idx="8">
                  <c:v>22.250015537954063</c:v>
                </c:pt>
                <c:pt idx="9">
                  <c:v>17.548831373688209</c:v>
                </c:pt>
                <c:pt idx="10">
                  <c:v>12.37405421629002</c:v>
                </c:pt>
                <c:pt idx="11">
                  <c:v>8.1519431529600013</c:v>
                </c:pt>
                <c:pt idx="12">
                  <c:v>4.1558365950299958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EA-46C1-8181-C2E8625E48C3}"/>
            </c:ext>
          </c:extLst>
        </c:ser>
        <c:ser>
          <c:idx val="4"/>
          <c:order val="4"/>
          <c:tx>
            <c:strRef>
              <c:f>'RC12 "B" original mm'!$H$56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"B" original mm'!$I$60:$I$70</c:f>
              <c:numCache>
                <c:formatCode>0.00</c:formatCode>
                <c:ptCount val="11"/>
                <c:pt idx="0">
                  <c:v>35.14</c:v>
                </c:pt>
                <c:pt idx="1">
                  <c:v>389.87</c:v>
                </c:pt>
                <c:pt idx="2">
                  <c:v>678.99</c:v>
                </c:pt>
                <c:pt idx="3">
                  <c:v>821.91</c:v>
                </c:pt>
                <c:pt idx="4">
                  <c:v>974.07</c:v>
                </c:pt>
                <c:pt idx="5">
                  <c:v>1117.32</c:v>
                </c:pt>
                <c:pt idx="6">
                  <c:v>1273.55</c:v>
                </c:pt>
                <c:pt idx="7">
                  <c:v>1412.76</c:v>
                </c:pt>
                <c:pt idx="8">
                  <c:v>1555.58</c:v>
                </c:pt>
                <c:pt idx="9">
                  <c:v>1709.01</c:v>
                </c:pt>
                <c:pt idx="10">
                  <c:v>1845.03</c:v>
                </c:pt>
              </c:numCache>
            </c:numRef>
          </c:xVal>
          <c:yVal>
            <c:numRef>
              <c:f>'RC12 "B" original mm'!$L$60:$L$70</c:f>
              <c:numCache>
                <c:formatCode>0.00</c:formatCode>
                <c:ptCount val="11"/>
                <c:pt idx="0">
                  <c:v>33.85</c:v>
                </c:pt>
                <c:pt idx="1">
                  <c:v>34.65</c:v>
                </c:pt>
                <c:pt idx="2">
                  <c:v>34.24</c:v>
                </c:pt>
                <c:pt idx="3">
                  <c:v>33.83</c:v>
                </c:pt>
                <c:pt idx="4">
                  <c:v>33.03</c:v>
                </c:pt>
                <c:pt idx="5">
                  <c:v>31.71</c:v>
                </c:pt>
                <c:pt idx="6">
                  <c:v>27.87</c:v>
                </c:pt>
                <c:pt idx="7">
                  <c:v>23.02</c:v>
                </c:pt>
                <c:pt idx="8">
                  <c:v>17.829999999999998</c:v>
                </c:pt>
                <c:pt idx="9">
                  <c:v>12.26</c:v>
                </c:pt>
                <c:pt idx="10">
                  <c:v>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EA-46C1-8181-C2E8625E48C3}"/>
            </c:ext>
          </c:extLst>
        </c:ser>
        <c:ser>
          <c:idx val="5"/>
          <c:order val="5"/>
          <c:tx>
            <c:strRef>
              <c:f>'RC12 "B" original 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"B" original mm'!$K$9:$K$10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EA-46C1-8181-C2E8625E48C3}"/>
            </c:ext>
          </c:extLst>
        </c:ser>
        <c:ser>
          <c:idx val="6"/>
          <c:order val="6"/>
          <c:tx>
            <c:strRef>
              <c:f>'RC12 "B" original 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"B" original mm'!$K$12:$K$13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EA-46C1-8181-C2E8625E48C3}"/>
            </c:ext>
          </c:extLst>
        </c:ser>
        <c:ser>
          <c:idx val="7"/>
          <c:order val="7"/>
          <c:tx>
            <c:strRef>
              <c:f>'RC12 "B" original 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"B" original mm'!$K$15:$K$16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EA-46C1-8181-C2E8625E4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0.16074502315117586"/>
          <c:w val="0.28469109630526956"/>
          <c:h val="0.83079760378789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TDH test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1"/>
            <c:dispEq val="1"/>
            <c:trendlineLbl>
              <c:layout>
                <c:manualLayout>
                  <c:x val="8.9861156616153057E-2"/>
                  <c:y val="-0.44050196203310155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'400-1200R-F'!$I$60:$I$72</c:f>
              <c:numCache>
                <c:formatCode>0.00</c:formatCode>
                <c:ptCount val="13"/>
                <c:pt idx="0">
                  <c:v>30.41</c:v>
                </c:pt>
                <c:pt idx="1">
                  <c:v>889.76</c:v>
                </c:pt>
                <c:pt idx="2">
                  <c:v>1082.22</c:v>
                </c:pt>
                <c:pt idx="3">
                  <c:v>1202.1500000000001</c:v>
                </c:pt>
                <c:pt idx="4">
                  <c:v>1373.73</c:v>
                </c:pt>
                <c:pt idx="5">
                  <c:v>1490.7</c:v>
                </c:pt>
                <c:pt idx="6">
                  <c:v>1624.74</c:v>
                </c:pt>
                <c:pt idx="7">
                  <c:v>2102.02</c:v>
                </c:pt>
              </c:numCache>
            </c:numRef>
          </c:xVal>
          <c:yVal>
            <c:numRef>
              <c:f>'400-1200R-F'!$L$60:$L$72</c:f>
              <c:numCache>
                <c:formatCode>0.00</c:formatCode>
                <c:ptCount val="13"/>
                <c:pt idx="0">
                  <c:v>36.068703703703704</c:v>
                </c:pt>
                <c:pt idx="1">
                  <c:v>34.443148148148147</c:v>
                </c:pt>
                <c:pt idx="2">
                  <c:v>32.114629629629633</c:v>
                </c:pt>
                <c:pt idx="3">
                  <c:v>29.755925925925926</c:v>
                </c:pt>
                <c:pt idx="4">
                  <c:v>25.948703703703703</c:v>
                </c:pt>
                <c:pt idx="5">
                  <c:v>23.193888888888889</c:v>
                </c:pt>
                <c:pt idx="6">
                  <c:v>18.891481481481481</c:v>
                </c:pt>
                <c:pt idx="7">
                  <c:v>0.16592592592592595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61-4F46-BBA9-332DADEA6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1"/>
            <c:dispEq val="1"/>
            <c:trendlineLbl>
              <c:layout>
                <c:manualLayout>
                  <c:x val="7.9640613854666586E-2"/>
                  <c:y val="-0.13134570700163245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'400-1200R-F'!$I$60:$I$72</c:f>
              <c:numCache>
                <c:formatCode>0.00</c:formatCode>
                <c:ptCount val="13"/>
                <c:pt idx="0">
                  <c:v>30.41</c:v>
                </c:pt>
                <c:pt idx="1">
                  <c:v>889.76</c:v>
                </c:pt>
                <c:pt idx="2">
                  <c:v>1082.22</c:v>
                </c:pt>
                <c:pt idx="3">
                  <c:v>1202.1500000000001</c:v>
                </c:pt>
                <c:pt idx="4">
                  <c:v>1373.73</c:v>
                </c:pt>
                <c:pt idx="5">
                  <c:v>1490.7</c:v>
                </c:pt>
                <c:pt idx="6">
                  <c:v>1624.74</c:v>
                </c:pt>
                <c:pt idx="7">
                  <c:v>2102.02</c:v>
                </c:pt>
              </c:numCache>
            </c:numRef>
          </c:xVal>
          <c:yVal>
            <c:numRef>
              <c:f>'400-1200R-F'!$O$60:$O$72</c:f>
              <c:numCache>
                <c:formatCode>0.00</c:formatCode>
                <c:ptCount val="13"/>
                <c:pt idx="0">
                  <c:v>0.24616666666666664</c:v>
                </c:pt>
                <c:pt idx="1">
                  <c:v>0.40148148148148149</c:v>
                </c:pt>
                <c:pt idx="2">
                  <c:v>0.42433333333333334</c:v>
                </c:pt>
                <c:pt idx="3">
                  <c:v>0.43061111111111111</c:v>
                </c:pt>
                <c:pt idx="4">
                  <c:v>0.44120370370370371</c:v>
                </c:pt>
                <c:pt idx="5">
                  <c:v>0.44981481481481478</c:v>
                </c:pt>
                <c:pt idx="6">
                  <c:v>0.45683333333333337</c:v>
                </c:pt>
                <c:pt idx="7">
                  <c:v>0.53442592592592597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50-49CE-A2F8-7DADEF8BF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EFFICIENCY - OD 400-1200R-F</a:t>
            </a:r>
            <a:endParaRPr lang="en-CA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'400-1200R-F'!$T$56:$W$56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75DBFF"/>
              </a:solidFill>
              <a:prstDash val="solid"/>
            </a:ln>
          </c:spPr>
          <c:marker>
            <c:symbol val="none"/>
          </c:marker>
          <c:xVal>
            <c:numRef>
              <c:f>'400-1200R-F'!$T$62:$T$70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'400-1200R-F'!$W$62:$W$70</c:f>
              <c:numCache>
                <c:formatCode>0.0</c:formatCode>
                <c:ptCount val="9"/>
                <c:pt idx="0">
                  <c:v>40.58565411875275</c:v>
                </c:pt>
                <c:pt idx="1">
                  <c:v>-25.104180566702802</c:v>
                </c:pt>
                <c:pt idx="2">
                  <c:v>2873.2410616815055</c:v>
                </c:pt>
                <c:pt idx="3">
                  <c:v>368.38151463370536</c:v>
                </c:pt>
                <c:pt idx="4">
                  <c:v>359.99876156181818</c:v>
                </c:pt>
                <c:pt idx="5">
                  <c:v>376.18760710151753</c:v>
                </c:pt>
                <c:pt idx="6">
                  <c:v>396.81847716960368</c:v>
                </c:pt>
                <c:pt idx="7">
                  <c:v>420.01093237913119</c:v>
                </c:pt>
                <c:pt idx="8">
                  <c:v>444.80670085917347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40-40D0-832D-939EA34E69F7}"/>
            </c:ext>
          </c:extLst>
        </c:ser>
        <c:ser>
          <c:idx val="1"/>
          <c:order val="1"/>
          <c:tx>
            <c:strRef>
              <c:f>'400-1200R-F'!$X$57:$AB$57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'400-1200R-F'!$T$66</c:f>
              <c:numCache>
                <c:formatCode>0</c:formatCode>
                <c:ptCount val="1"/>
                <c:pt idx="0">
                  <c:v>7600</c:v>
                </c:pt>
              </c:numCache>
            </c:numRef>
          </c:xVal>
          <c:yVal>
            <c:numRef>
              <c:f>'400-1200R-F'!$AB$66</c:f>
              <c:numCache>
                <c:formatCode>0.0</c:formatCode>
                <c:ptCount val="1"/>
                <c:pt idx="0">
                  <c:v>55.693060246852674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40-40D0-832D-939EA34E69F7}"/>
            </c:ext>
          </c:extLst>
        </c:ser>
        <c:ser>
          <c:idx val="2"/>
          <c:order val="2"/>
          <c:tx>
            <c:strRef>
              <c:f>'400-1200R-F'!$Q$56:$S$56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'400-1200R-F'!$T$66</c:f>
              <c:numCache>
                <c:formatCode>0</c:formatCode>
                <c:ptCount val="1"/>
                <c:pt idx="0">
                  <c:v>7600</c:v>
                </c:pt>
              </c:numCache>
            </c:numRef>
          </c:xVal>
          <c:yVal>
            <c:numRef>
              <c:f>'400-1200R-F'!$I$3</c:f>
              <c:numCache>
                <c:formatCode>0.0</c:formatCode>
                <c:ptCount val="1"/>
                <c:pt idx="0">
                  <c:v>61.881178052058523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40-40D0-832D-939EA34E69F7}"/>
            </c:ext>
          </c:extLst>
        </c:ser>
        <c:ser>
          <c:idx val="3"/>
          <c:order val="3"/>
          <c:tx>
            <c:strRef>
              <c:f>'400-1200R-F'!$J$8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'400-1200R-F'!$J$9:$J$10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'400-1200R-F'!$M$9:$M$10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40-40D0-832D-939EA34E69F7}"/>
            </c:ext>
          </c:extLst>
        </c:ser>
        <c:ser>
          <c:idx val="5"/>
          <c:order val="4"/>
          <c:tx>
            <c:strRef>
              <c:f>'400-1200R-F'!$J$14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'400-1200R-F'!$J$15:$J$16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'400-1200R-F'!$M$15:$M$16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40-40D0-832D-939EA34E69F7}"/>
            </c:ext>
          </c:extLst>
        </c:ser>
        <c:ser>
          <c:idx val="4"/>
          <c:order val="5"/>
          <c:tx>
            <c:strRef>
              <c:f>'400-1200R-F'!$J$11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'400-1200R-F'!$J$12:$J$13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'400-1200R-F'!$M$12:$M$13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40-40D0-832D-939EA34E69F7}"/>
            </c:ext>
          </c:extLst>
        </c:ser>
        <c:ser>
          <c:idx val="6"/>
          <c:order val="6"/>
          <c:tx>
            <c:strRef>
              <c:f>'400-1200R-F'!$AA$5:$AD$5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'400-1200R-F'!$AA$9:$AA$18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'400-1200R-F'!$AD$9:$AD$18</c:f>
              <c:numCache>
                <c:formatCode>0.00</c:formatCode>
                <c:ptCount val="10"/>
                <c:pt idx="0">
                  <c:v>3.72368E-2</c:v>
                </c:pt>
                <c:pt idx="1">
                  <c:v>3.8849567373818363</c:v>
                </c:pt>
                <c:pt idx="2">
                  <c:v>7.4926299287187508</c:v>
                </c:pt>
                <c:pt idx="3">
                  <c:v>26.943121119263353</c:v>
                </c:pt>
                <c:pt idx="4">
                  <c:v>38.365410167951239</c:v>
                </c:pt>
                <c:pt idx="5">
                  <c:v>44.540327376631247</c:v>
                </c:pt>
                <c:pt idx="6">
                  <c:v>43.13951378781185</c:v>
                </c:pt>
                <c:pt idx="7">
                  <c:v>36.788234694086555</c:v>
                </c:pt>
                <c:pt idx="8">
                  <c:v>23.826781799237864</c:v>
                </c:pt>
                <c:pt idx="9">
                  <c:v>1.0538681326821688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40-40D0-832D-939EA34E6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1813200904005026"/>
          <c:h val="0.326662017778910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BRAKE POWER - RC12 ODI sheet marked "B"</a:t>
            </a:r>
            <a:br>
              <a:rPr lang="en-CA" sz="1800" b="1" i="0" baseline="0">
                <a:effectLst/>
              </a:rPr>
            </a:b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'RC12 "B" original mm'!$A$5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"B" original mm'!$A$9:$A$21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"B" original mm'!$C$9:$C$21</c:f>
              <c:numCache>
                <c:formatCode>0.0000</c:formatCode>
                <c:ptCount val="13"/>
                <c:pt idx="0">
                  <c:v>0.25501099999999999</c:v>
                </c:pt>
                <c:pt idx="1">
                  <c:v>0.29064644929765621</c:v>
                </c:pt>
                <c:pt idx="2">
                  <c:v>0.33873762042499994</c:v>
                </c:pt>
                <c:pt idx="3">
                  <c:v>0.35255181358210447</c:v>
                </c:pt>
                <c:pt idx="4">
                  <c:v>0.36344069891328118</c:v>
                </c:pt>
                <c:pt idx="5">
                  <c:v>0.37117844488166507</c:v>
                </c:pt>
                <c:pt idx="6">
                  <c:v>0.37581834079999993</c:v>
                </c:pt>
                <c:pt idx="7">
                  <c:v>0.37764609578083502</c:v>
                </c:pt>
                <c:pt idx="8">
                  <c:v>0.37713313768671869</c:v>
                </c:pt>
                <c:pt idx="9">
                  <c:v>0.37488991208039563</c:v>
                </c:pt>
                <c:pt idx="10">
                  <c:v>0.37161918117500009</c:v>
                </c:pt>
                <c:pt idx="11">
                  <c:v>0.3687653623999998</c:v>
                </c:pt>
                <c:pt idx="12">
                  <c:v>0.36611774412499992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0A-4F46-A9E2-D4860A2EA8B7}"/>
            </c:ext>
          </c:extLst>
        </c:ser>
        <c:ser>
          <c:idx val="0"/>
          <c:order val="1"/>
          <c:tx>
            <c:strRef>
              <c:f>'RC12 "B" original mm'!$H$7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"B" original 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"B" original mm'!$H$11:$H$19</c:f>
              <c:numCache>
                <c:formatCode>0.0000</c:formatCode>
                <c:ptCount val="9"/>
                <c:pt idx="0">
                  <c:v>0.31163861079099997</c:v>
                </c:pt>
                <c:pt idx="1">
                  <c:v>0.32434766849553615</c:v>
                </c:pt>
                <c:pt idx="2">
                  <c:v>0.3343654430002187</c:v>
                </c:pt>
                <c:pt idx="3">
                  <c:v>0.3414841692911319</c:v>
                </c:pt>
                <c:pt idx="4">
                  <c:v>0.34575287353599993</c:v>
                </c:pt>
                <c:pt idx="5">
                  <c:v>0.34743440811836823</c:v>
                </c:pt>
                <c:pt idx="6">
                  <c:v>0.3469624866717812</c:v>
                </c:pt>
                <c:pt idx="7">
                  <c:v>0.34489871911396397</c:v>
                </c:pt>
                <c:pt idx="8">
                  <c:v>0.34188964668100008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0A-4F46-A9E2-D4860A2EA8B7}"/>
            </c:ext>
          </c:extLst>
        </c:ser>
        <c:ser>
          <c:idx val="2"/>
          <c:order val="2"/>
          <c:tx>
            <c:strRef>
              <c:f>'RC12 "B" original mm'!$I$7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"B" original 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"B" original mm'!$I$11:$I$19</c:f>
              <c:numCache>
                <c:formatCode>0.0000</c:formatCode>
                <c:ptCount val="9"/>
                <c:pt idx="0">
                  <c:v>0.36583663005899997</c:v>
                </c:pt>
                <c:pt idx="1">
                  <c:v>0.38075595866867284</c:v>
                </c:pt>
                <c:pt idx="2">
                  <c:v>0.39251595482634372</c:v>
                </c:pt>
                <c:pt idx="3">
                  <c:v>0.4008727204721983</c:v>
                </c:pt>
                <c:pt idx="4">
                  <c:v>0.40588380806399993</c:v>
                </c:pt>
                <c:pt idx="5">
                  <c:v>0.40785778344330187</c:v>
                </c:pt>
                <c:pt idx="6">
                  <c:v>0.40730378870165623</c:v>
                </c:pt>
                <c:pt idx="7">
                  <c:v>0.40488110504682728</c:v>
                </c:pt>
                <c:pt idx="8">
                  <c:v>0.4013487156690001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0A-4F46-A9E2-D4860A2EA8B7}"/>
            </c:ext>
          </c:extLst>
        </c:ser>
        <c:ser>
          <c:idx val="3"/>
          <c:order val="3"/>
          <c:tx>
            <c:strRef>
              <c:f>'RC12 "B" original mm'!$T$56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"B" original mm'!$T$60:$T$72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"B" original mm'!$V$60:$V$72</c:f>
              <c:numCache>
                <c:formatCode>0.0000</c:formatCode>
                <c:ptCount val="13"/>
                <c:pt idx="0">
                  <c:v>0.28023160000000003</c:v>
                </c:pt>
                <c:pt idx="1">
                  <c:v>0.31168362091631252</c:v>
                </c:pt>
                <c:pt idx="2">
                  <c:v>0.41060419946200011</c:v>
                </c:pt>
                <c:pt idx="3">
                  <c:v>0.43340526125765438</c:v>
                </c:pt>
                <c:pt idx="4">
                  <c:v>0.44719898518856271</c:v>
                </c:pt>
                <c:pt idx="5">
                  <c:v>0.45310429850326006</c:v>
                </c:pt>
                <c:pt idx="6">
                  <c:v>0.45323777171200008</c:v>
                </c:pt>
                <c:pt idx="7">
                  <c:v>0.45011474871370893</c:v>
                </c:pt>
                <c:pt idx="8">
                  <c:v>0.44605047692293742</c:v>
                </c:pt>
                <c:pt idx="9">
                  <c:v>0.4425612373968153</c:v>
                </c:pt>
                <c:pt idx="10">
                  <c:v>0.43976547496200036</c:v>
                </c:pt>
                <c:pt idx="11">
                  <c:v>0.43684835900800234</c:v>
                </c:pt>
                <c:pt idx="12">
                  <c:v>0.4310927009740011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0A-4F46-A9E2-D4860A2EA8B7}"/>
            </c:ext>
          </c:extLst>
        </c:ser>
        <c:ser>
          <c:idx val="4"/>
          <c:order val="4"/>
          <c:tx>
            <c:strRef>
              <c:f>'RC12 "B" original mm'!$H$56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"B" original mm'!$H$60:$H$70</c:f>
              <c:numCache>
                <c:formatCode>0.00</c:formatCode>
                <c:ptCount val="11"/>
                <c:pt idx="0">
                  <c:v>35.200000000000003</c:v>
                </c:pt>
                <c:pt idx="1">
                  <c:v>389.90000000000003</c:v>
                </c:pt>
                <c:pt idx="2">
                  <c:v>679</c:v>
                </c:pt>
                <c:pt idx="3">
                  <c:v>822</c:v>
                </c:pt>
                <c:pt idx="4">
                  <c:v>974.1</c:v>
                </c:pt>
                <c:pt idx="5">
                  <c:v>1117.3999999999999</c:v>
                </c:pt>
                <c:pt idx="6">
                  <c:v>1273.5999999999999</c:v>
                </c:pt>
                <c:pt idx="7">
                  <c:v>1412.8</c:v>
                </c:pt>
                <c:pt idx="8">
                  <c:v>1555.6</c:v>
                </c:pt>
                <c:pt idx="9">
                  <c:v>1709.1</c:v>
                </c:pt>
                <c:pt idx="10">
                  <c:v>1845.1</c:v>
                </c:pt>
              </c:numCache>
            </c:numRef>
          </c:xVal>
          <c:yVal>
            <c:numRef>
              <c:f>'RC12 "B" original mm'!$N$60:$N$70</c:f>
              <c:numCache>
                <c:formatCode>0.000</c:formatCode>
                <c:ptCount val="11"/>
                <c:pt idx="0">
                  <c:v>0.27300000000000002</c:v>
                </c:pt>
                <c:pt idx="1">
                  <c:v>0.318</c:v>
                </c:pt>
                <c:pt idx="2">
                  <c:v>0.42299999999999999</c:v>
                </c:pt>
                <c:pt idx="3">
                  <c:v>0.42699999999999999</c:v>
                </c:pt>
                <c:pt idx="4">
                  <c:v>0.435</c:v>
                </c:pt>
                <c:pt idx="5">
                  <c:v>0.45700000000000002</c:v>
                </c:pt>
                <c:pt idx="6">
                  <c:v>0.46</c:v>
                </c:pt>
                <c:pt idx="7">
                  <c:v>0.44600000000000001</c:v>
                </c:pt>
                <c:pt idx="8">
                  <c:v>0.443</c:v>
                </c:pt>
                <c:pt idx="9">
                  <c:v>0.439</c:v>
                </c:pt>
                <c:pt idx="10">
                  <c:v>0.435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0A-4F46-A9E2-D4860A2EA8B7}"/>
            </c:ext>
          </c:extLst>
        </c:ser>
        <c:ser>
          <c:idx val="5"/>
          <c:order val="5"/>
          <c:tx>
            <c:strRef>
              <c:f>'RC12 "B" original 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"B" original mm'!$L$9:$L$10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0A-4F46-A9E2-D4860A2EA8B7}"/>
            </c:ext>
          </c:extLst>
        </c:ser>
        <c:ser>
          <c:idx val="6"/>
          <c:order val="6"/>
          <c:tx>
            <c:strRef>
              <c:f>'RC12 "B" original 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"B" original mm'!$L$12:$L$13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0A-4F46-A9E2-D4860A2EA8B7}"/>
            </c:ext>
          </c:extLst>
        </c:ser>
        <c:ser>
          <c:idx val="7"/>
          <c:order val="7"/>
          <c:tx>
            <c:strRef>
              <c:f>'RC12 "B" original 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"B" original mm'!$L$15:$L$16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0A-4F46-A9E2-D4860A2EA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0.7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34517858232837173"/>
          <c:w val="0.22394875549398618"/>
          <c:h val="0.407784419389436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test TDH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4.15555026619705E-2"/>
                  <c:y val="-0.50584721846167824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"B" original mm'!$I$60:$I$72</c:f>
              <c:numCache>
                <c:formatCode>0.00</c:formatCode>
                <c:ptCount val="13"/>
                <c:pt idx="0">
                  <c:v>35.14</c:v>
                </c:pt>
                <c:pt idx="1">
                  <c:v>389.87</c:v>
                </c:pt>
                <c:pt idx="2">
                  <c:v>678.99</c:v>
                </c:pt>
                <c:pt idx="3">
                  <c:v>821.91</c:v>
                </c:pt>
                <c:pt idx="4">
                  <c:v>974.07</c:v>
                </c:pt>
                <c:pt idx="5">
                  <c:v>1117.32</c:v>
                </c:pt>
                <c:pt idx="6">
                  <c:v>1273.55</c:v>
                </c:pt>
                <c:pt idx="7">
                  <c:v>1412.76</c:v>
                </c:pt>
                <c:pt idx="8">
                  <c:v>1555.58</c:v>
                </c:pt>
                <c:pt idx="9">
                  <c:v>1709.01</c:v>
                </c:pt>
                <c:pt idx="10">
                  <c:v>1845.03</c:v>
                </c:pt>
                <c:pt idx="11">
                  <c:v>2015.55</c:v>
                </c:pt>
              </c:numCache>
            </c:numRef>
          </c:xVal>
          <c:yVal>
            <c:numRef>
              <c:f>'RC12 "B" original mm'!$L$60:$L$72</c:f>
              <c:numCache>
                <c:formatCode>0.00</c:formatCode>
                <c:ptCount val="13"/>
                <c:pt idx="0">
                  <c:v>33.85</c:v>
                </c:pt>
                <c:pt idx="1">
                  <c:v>34.65</c:v>
                </c:pt>
                <c:pt idx="2">
                  <c:v>34.24</c:v>
                </c:pt>
                <c:pt idx="3">
                  <c:v>33.83</c:v>
                </c:pt>
                <c:pt idx="4">
                  <c:v>33.03</c:v>
                </c:pt>
                <c:pt idx="5">
                  <c:v>31.71</c:v>
                </c:pt>
                <c:pt idx="6">
                  <c:v>27.87</c:v>
                </c:pt>
                <c:pt idx="7">
                  <c:v>23.02</c:v>
                </c:pt>
                <c:pt idx="8">
                  <c:v>17.829999999999998</c:v>
                </c:pt>
                <c:pt idx="9">
                  <c:v>12.26</c:v>
                </c:pt>
                <c:pt idx="10">
                  <c:v>6.6</c:v>
                </c:pt>
                <c:pt idx="11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BB-4210-8AAA-C34B27C9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6.8510960243701735E-3"/>
                  <c:y val="-0.14414169392214643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"B" original mm'!$I$60:$I$72</c:f>
              <c:numCache>
                <c:formatCode>0.00</c:formatCode>
                <c:ptCount val="13"/>
                <c:pt idx="0">
                  <c:v>35.14</c:v>
                </c:pt>
                <c:pt idx="1">
                  <c:v>389.87</c:v>
                </c:pt>
                <c:pt idx="2">
                  <c:v>678.99</c:v>
                </c:pt>
                <c:pt idx="3">
                  <c:v>821.91</c:v>
                </c:pt>
                <c:pt idx="4">
                  <c:v>974.07</c:v>
                </c:pt>
                <c:pt idx="5">
                  <c:v>1117.32</c:v>
                </c:pt>
                <c:pt idx="6">
                  <c:v>1273.55</c:v>
                </c:pt>
                <c:pt idx="7">
                  <c:v>1412.76</c:v>
                </c:pt>
                <c:pt idx="8">
                  <c:v>1555.58</c:v>
                </c:pt>
                <c:pt idx="9">
                  <c:v>1709.01</c:v>
                </c:pt>
                <c:pt idx="10">
                  <c:v>1845.03</c:v>
                </c:pt>
                <c:pt idx="11">
                  <c:v>2015.55</c:v>
                </c:pt>
              </c:numCache>
            </c:numRef>
          </c:xVal>
          <c:yVal>
            <c:numRef>
              <c:f>'RC12 "B" original mm'!$O$60:$O$72</c:f>
              <c:numCache>
                <c:formatCode>0.000</c:formatCode>
                <c:ptCount val="13"/>
                <c:pt idx="0">
                  <c:v>0.27300000000000002</c:v>
                </c:pt>
                <c:pt idx="1">
                  <c:v>0.318</c:v>
                </c:pt>
                <c:pt idx="2">
                  <c:v>0.42299999999999999</c:v>
                </c:pt>
                <c:pt idx="3">
                  <c:v>0.42599999999999999</c:v>
                </c:pt>
                <c:pt idx="4">
                  <c:v>0.435</c:v>
                </c:pt>
                <c:pt idx="5">
                  <c:v>0.45700000000000002</c:v>
                </c:pt>
                <c:pt idx="6">
                  <c:v>0.46</c:v>
                </c:pt>
                <c:pt idx="7">
                  <c:v>0.44600000000000001</c:v>
                </c:pt>
                <c:pt idx="8">
                  <c:v>0.442</c:v>
                </c:pt>
                <c:pt idx="9">
                  <c:v>0.439</c:v>
                </c:pt>
                <c:pt idx="10">
                  <c:v>0.434</c:v>
                </c:pt>
                <c:pt idx="11">
                  <c:v>0.41699999999999998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7E-4E56-9494-821B8C63B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2569" name="Chart 1">
          <a:extLst>
            <a:ext uri="{FF2B5EF4-FFF2-40B4-BE49-F238E27FC236}">
              <a16:creationId xmlns:a16="http://schemas.microsoft.com/office/drawing/2014/main" id="{AD677361-1548-4F4A-87D4-CE42A1D12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22570" name="Chart 2">
          <a:extLst>
            <a:ext uri="{FF2B5EF4-FFF2-40B4-BE49-F238E27FC236}">
              <a16:creationId xmlns:a16="http://schemas.microsoft.com/office/drawing/2014/main" id="{4501CDCF-E845-4067-9222-3DC6878C3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22571" name="Chart 3">
          <a:extLst>
            <a:ext uri="{FF2B5EF4-FFF2-40B4-BE49-F238E27FC236}">
              <a16:creationId xmlns:a16="http://schemas.microsoft.com/office/drawing/2014/main" id="{9C76776A-2D03-42BC-B5B6-94AB7E543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22572" name="Chart 4">
          <a:extLst>
            <a:ext uri="{FF2B5EF4-FFF2-40B4-BE49-F238E27FC236}">
              <a16:creationId xmlns:a16="http://schemas.microsoft.com/office/drawing/2014/main" id="{C209E0FA-B932-48D4-95C0-2A1065B54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22573" name="Chart 5">
          <a:extLst>
            <a:ext uri="{FF2B5EF4-FFF2-40B4-BE49-F238E27FC236}">
              <a16:creationId xmlns:a16="http://schemas.microsoft.com/office/drawing/2014/main" id="{6BC3E39F-2E42-4786-A711-2D0DB1208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1A14C-5BF5-47C1-B271-D4D3FB52F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079147-FB94-453D-8CD5-C4D12869A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E42F64-91D0-47C8-94E9-6F9C87C55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9CD2E0-C9FA-46C3-A873-705E53C74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22DBD9-2621-43EA-86F2-D4B00113E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6C03C-D1B2-483F-864C-A29E39D04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FD9A56-64F1-458B-AE41-1DBF039D5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2F4F1C-C6A0-4259-81A4-75D6479E4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9D0837-0B74-4036-AE77-8FDF3FF9D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6A191B-B3D0-4486-B8FB-E41167401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32952-BBE3-465A-9C3B-949D0360A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D92FDF-1052-4E9D-83C9-0AEA1CDFC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7F0C3F-C8C8-47CB-98B1-6F1B97266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6FC4C-E222-4CCB-A4EC-9CE5962F6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A78CAF-1B85-4635-BFEB-58D5C6FE3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7B1B5-47A5-4043-ABA1-F85D0A5F5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AADD2B-8648-4C96-AC33-98DD8D4CC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82566B-1F9B-44E1-9C3B-EB0ECE3BA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289084-44B1-4165-8ECE-E0FF1139E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96CA02-8D05-4E3C-B912-52D97CC69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BC11B-B60B-4B6D-8C3D-71B25A487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B6B68-7261-40D0-B8CE-B0B9029A1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260DB6-209D-45F7-A341-4A7B159C9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6F91B1-4C5E-423D-920E-9184E0697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FE86CE-BE4D-4240-A4D4-065A1AAAD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41115-C1D0-4350-B495-BD50C676E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82F618-9350-41BF-9A5F-3B7DBB241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BFA97C-7016-42D5-8EC0-5F7646B27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306571-2199-47F5-A324-B52FA3E8C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DA42CF-327C-492B-BFAF-E6ADBD5B5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A33C2-39D4-4B5E-B3F8-CD57F0053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5D927-93D2-4201-AB7F-FD0B7DFFE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E8DBEE-AE88-43D8-8922-DFA026708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743B07-518B-4A3A-BAFC-BD79A7C6B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FA3A81-299C-41E7-B1C3-65E62BFE5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E466D-E290-4898-8769-7609EB3AD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722B8-0380-43F4-AA37-059037F30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5CE25-0766-4256-94D8-8A1E2D67C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65BDB9-FFB3-425D-BFE0-769F07BBB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894DD6-079F-4B6F-BF46-613FB98A0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92473-F012-4DA8-B58A-72B4ECB42F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721EC-491F-40DA-B5DE-9510D5C62D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E10DF-746F-4940-B418-3FC109F0B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00D73-BCEF-4F42-80C9-B6121B5C4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25DFB3-F50D-4602-8378-881B4FE48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0B345-9C92-4D14-A54C-281F14B89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68DDB1-C249-4211-9968-49D953AF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D8816-9F23-4EAB-A6BE-75D9956B5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3FA62F-8D54-4FED-AC01-D83CE12FA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02BFC8-1286-4566-90B7-846AE81C7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294E30-0651-4233-BF31-709E793AC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58A21A-C086-4FC9-82A9-671984BAC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C57EE-4889-4959-98A7-A2B993890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C8B79B-FFC8-4C9E-B505-F9D302ABC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CCADC4-C276-45D8-99AA-FC83DEE56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455696-B2F9-402A-BB5E-C81518C55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0C9C3C-A3E8-4AB4-B1AB-332F0C89B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2"/>
  <sheetViews>
    <sheetView zoomScale="90" zoomScaleNormal="90" workbookViewId="0">
      <selection activeCell="M54" sqref="M54"/>
    </sheetView>
  </sheetViews>
  <sheetFormatPr defaultRowHeight="12.6" x14ac:dyDescent="0.25"/>
  <cols>
    <col min="1" max="1" width="12.6640625" customWidth="1"/>
    <col min="2" max="2" width="14.109375" bestFit="1" customWidth="1"/>
    <col min="3" max="3" width="15.33203125" bestFit="1" customWidth="1"/>
    <col min="4" max="4" width="14.109375" bestFit="1" customWidth="1"/>
    <col min="5" max="5" width="13" bestFit="1" customWidth="1"/>
    <col min="6" max="6" width="13.33203125" bestFit="1" customWidth="1"/>
    <col min="7" max="7" width="13.88671875" bestFit="1" customWidth="1"/>
    <col min="8" max="8" width="13.5546875" bestFit="1" customWidth="1"/>
    <col min="9" max="9" width="14.109375" bestFit="1" customWidth="1"/>
    <col min="10" max="10" width="14.44140625" bestFit="1" customWidth="1"/>
    <col min="11" max="11" width="13.88671875" bestFit="1" customWidth="1"/>
    <col min="12" max="12" width="14.6640625" bestFit="1" customWidth="1"/>
    <col min="13" max="13" width="14" customWidth="1"/>
    <col min="14" max="14" width="16.21875" bestFit="1" customWidth="1"/>
    <col min="15" max="15" width="14" bestFit="1" customWidth="1"/>
    <col min="16" max="16" width="14.109375" customWidth="1"/>
    <col min="17" max="17" width="14.88671875" style="3" bestFit="1" customWidth="1"/>
    <col min="18" max="18" width="13.88671875" style="3" bestFit="1" customWidth="1"/>
    <col min="19" max="19" width="14.44140625" style="3" bestFit="1" customWidth="1"/>
    <col min="20" max="20" width="13.5546875" style="3" bestFit="1" customWidth="1"/>
    <col min="21" max="22" width="13.88671875" bestFit="1" customWidth="1"/>
    <col min="23" max="23" width="14.6640625" bestFit="1" customWidth="1"/>
    <col min="24" max="24" width="13.5546875" bestFit="1" customWidth="1"/>
    <col min="25" max="25" width="14.6640625" bestFit="1" customWidth="1"/>
    <col min="26" max="26" width="13.5546875" bestFit="1" customWidth="1"/>
    <col min="30" max="30" width="12.77734375" bestFit="1" customWidth="1"/>
    <col min="31" max="31" width="13.77734375" customWidth="1"/>
  </cols>
  <sheetData>
    <row r="1" spans="1:32" ht="41.25" customHeight="1" x14ac:dyDescent="0.25">
      <c r="A1" s="467" t="s">
        <v>138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9"/>
      <c r="O1" s="462" t="s">
        <v>38</v>
      </c>
      <c r="P1" s="463"/>
      <c r="Q1" s="463"/>
      <c r="R1" s="463"/>
      <c r="S1" s="463"/>
      <c r="T1" s="463"/>
      <c r="U1" s="462" t="s">
        <v>39</v>
      </c>
      <c r="V1" s="463"/>
      <c r="W1" s="463"/>
      <c r="X1" s="463"/>
      <c r="Y1" s="463"/>
      <c r="Z1" s="464"/>
    </row>
    <row r="2" spans="1:32" s="4" customFormat="1" ht="54" thickBot="1" x14ac:dyDescent="0.55000000000000004">
      <c r="A2" s="128" t="s">
        <v>22</v>
      </c>
      <c r="B2" s="16" t="s">
        <v>26</v>
      </c>
      <c r="C2" s="17" t="s">
        <v>23</v>
      </c>
      <c r="D2" s="16" t="s">
        <v>24</v>
      </c>
      <c r="E2" s="16" t="s">
        <v>25</v>
      </c>
      <c r="F2" s="18" t="s">
        <v>27</v>
      </c>
      <c r="G2" s="16" t="s">
        <v>28</v>
      </c>
      <c r="H2" s="16" t="s">
        <v>29</v>
      </c>
      <c r="I2" s="19" t="s">
        <v>30</v>
      </c>
      <c r="J2" s="20" t="s">
        <v>31</v>
      </c>
      <c r="K2" s="16" t="s">
        <v>32</v>
      </c>
      <c r="L2" s="16" t="s">
        <v>33</v>
      </c>
      <c r="M2" s="16"/>
      <c r="N2" s="15" t="s">
        <v>34</v>
      </c>
      <c r="O2" s="22" t="s">
        <v>189</v>
      </c>
      <c r="P2" s="22" t="s">
        <v>2</v>
      </c>
      <c r="Q2" s="22" t="s">
        <v>3</v>
      </c>
      <c r="R2" s="22" t="s">
        <v>4</v>
      </c>
      <c r="S2" s="22" t="s">
        <v>5</v>
      </c>
      <c r="T2" s="22" t="s">
        <v>6</v>
      </c>
      <c r="U2" s="22" t="s">
        <v>188</v>
      </c>
      <c r="V2" s="22" t="s">
        <v>8</v>
      </c>
      <c r="W2" s="22" t="s">
        <v>9</v>
      </c>
      <c r="X2" s="22" t="s">
        <v>10</v>
      </c>
      <c r="Y2" s="22" t="s">
        <v>11</v>
      </c>
      <c r="Z2" s="129" t="s">
        <v>12</v>
      </c>
      <c r="AA2" s="432" t="s">
        <v>133</v>
      </c>
      <c r="AB2" s="433"/>
      <c r="AC2" s="433"/>
      <c r="AD2" s="433"/>
      <c r="AE2" s="433"/>
      <c r="AF2" s="433"/>
    </row>
    <row r="3" spans="1:32" s="4" customFormat="1" ht="13.2" thickBot="1" x14ac:dyDescent="0.3">
      <c r="A3" s="133">
        <f>'Pump coeff'!M3</f>
        <v>34.578919999999997</v>
      </c>
      <c r="B3" s="134">
        <f>'Pump coeff'!N3</f>
        <v>0.25501099999999999</v>
      </c>
      <c r="C3" s="135">
        <f>'Pump coeff'!O3</f>
        <v>700</v>
      </c>
      <c r="D3" s="134">
        <f>'Pump coeff'!P3</f>
        <v>32.470848099800001</v>
      </c>
      <c r="E3" s="134">
        <f>'Pump coeff'!Q3</f>
        <v>0.33873762042499994</v>
      </c>
      <c r="F3" s="135">
        <f>'Pump coeff'!R3</f>
        <v>1200</v>
      </c>
      <c r="G3" s="134">
        <f>'Pump coeff'!S3</f>
        <v>27.062060604799996</v>
      </c>
      <c r="H3" s="134">
        <f>'Pump coeff'!T3</f>
        <v>0.37581834079999993</v>
      </c>
      <c r="I3" s="136">
        <f>'Pump coeff'!U3</f>
        <v>63.643217992758629</v>
      </c>
      <c r="J3" s="135">
        <f>'Pump coeff'!V3</f>
        <v>1700</v>
      </c>
      <c r="K3" s="134">
        <f>'Pump coeff'!W3</f>
        <v>10.90344260980001</v>
      </c>
      <c r="L3" s="134">
        <f>'Pump coeff'!X3</f>
        <v>0.37161918117500009</v>
      </c>
      <c r="M3" s="137"/>
      <c r="N3" s="138">
        <f>'Pump coeff'!Z3</f>
        <v>1900</v>
      </c>
      <c r="O3" s="139">
        <f>'Pump coeff'!AA3</f>
        <v>34.578919999999997</v>
      </c>
      <c r="P3" s="139">
        <f>'Pump coeff'!AB3</f>
        <v>2.748061E-3</v>
      </c>
      <c r="Q3" s="139">
        <f>'Pump coeff'!AC3</f>
        <v>-2.0896069999999999E-5</v>
      </c>
      <c r="R3" s="139">
        <f>'Pump coeff'!AD3</f>
        <v>3.1696020000000001E-8</v>
      </c>
      <c r="S3" s="139">
        <f>'Pump coeff'!AE3</f>
        <v>-2.2659780000000001E-11</v>
      </c>
      <c r="T3" s="139">
        <f>'Pump coeff'!AF3</f>
        <v>4.6185400000000003E-15</v>
      </c>
      <c r="U3" s="139">
        <f>'Pump coeff'!AG3</f>
        <v>0.25501099999999999</v>
      </c>
      <c r="V3" s="139">
        <f>'Pump coeff'!AH3</f>
        <v>3.5073200000000002E-5</v>
      </c>
      <c r="W3" s="139">
        <f>'Pump coeff'!AI3</f>
        <v>2.8384999999999999E-7</v>
      </c>
      <c r="X3" s="139">
        <f>'Pump coeff'!AJ3</f>
        <v>-3.0247599999999999E-10</v>
      </c>
      <c r="Y3" s="139">
        <f>'Pump coeff'!AK3</f>
        <v>1.08211E-13</v>
      </c>
      <c r="Z3" s="234">
        <f>'Pump coeff'!AL3</f>
        <v>-1.2752500000000001E-17</v>
      </c>
      <c r="AA3" s="43" t="s">
        <v>182</v>
      </c>
      <c r="AB3" s="36" t="s">
        <v>183</v>
      </c>
      <c r="AC3" s="36" t="s">
        <v>184</v>
      </c>
      <c r="AD3" s="36" t="s">
        <v>185</v>
      </c>
      <c r="AE3" s="36" t="s">
        <v>186</v>
      </c>
      <c r="AF3" s="37" t="s">
        <v>187</v>
      </c>
    </row>
    <row r="4" spans="1:32" s="4" customFormat="1" ht="13.2" thickBot="1" x14ac:dyDescent="0.3">
      <c r="A4" s="470" t="s">
        <v>181</v>
      </c>
      <c r="B4" s="471"/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235"/>
      <c r="AA4" s="236"/>
      <c r="AB4" s="237"/>
      <c r="AC4" s="237"/>
      <c r="AD4" s="237"/>
      <c r="AE4" s="237"/>
      <c r="AF4" s="238"/>
    </row>
    <row r="5" spans="1:32" ht="13.2" thickBot="1" x14ac:dyDescent="0.3">
      <c r="A5" s="437" t="s">
        <v>76</v>
      </c>
      <c r="B5" s="438"/>
      <c r="C5" s="472"/>
      <c r="D5" s="437" t="s">
        <v>84</v>
      </c>
      <c r="E5" s="438"/>
      <c r="F5" s="439"/>
      <c r="G5" s="439"/>
      <c r="H5" s="439"/>
      <c r="I5" s="440"/>
      <c r="J5" s="69"/>
      <c r="K5" s="69"/>
      <c r="L5" s="69"/>
      <c r="M5" s="69"/>
      <c r="N5" s="69"/>
      <c r="AA5" s="434" t="s">
        <v>180</v>
      </c>
      <c r="AB5" s="435"/>
      <c r="AC5" s="435"/>
      <c r="AD5" s="436"/>
    </row>
    <row r="6" spans="1:32" ht="38.25" customHeight="1" thickBot="1" x14ac:dyDescent="0.3">
      <c r="A6" s="63"/>
      <c r="B6" s="64"/>
      <c r="C6" s="65"/>
      <c r="D6" s="465" t="s">
        <v>85</v>
      </c>
      <c r="E6" s="466"/>
      <c r="F6" s="465" t="s">
        <v>86</v>
      </c>
      <c r="G6" s="466"/>
      <c r="H6" s="66"/>
      <c r="I6" s="67"/>
      <c r="J6" s="69"/>
      <c r="K6" s="69"/>
      <c r="L6" s="69"/>
      <c r="M6" s="69"/>
      <c r="N6" s="69"/>
      <c r="AA6" s="151"/>
      <c r="AB6" s="152"/>
      <c r="AC6" s="153"/>
      <c r="AD6" s="154"/>
    </row>
    <row r="7" spans="1:32" x14ac:dyDescent="0.25">
      <c r="A7" s="43" t="s">
        <v>70</v>
      </c>
      <c r="B7" s="36" t="s">
        <v>72</v>
      </c>
      <c r="C7" s="37" t="s">
        <v>74</v>
      </c>
      <c r="D7" s="43" t="s">
        <v>78</v>
      </c>
      <c r="E7" s="36" t="s">
        <v>81</v>
      </c>
      <c r="F7" s="36" t="s">
        <v>80</v>
      </c>
      <c r="G7" s="36" t="s">
        <v>79</v>
      </c>
      <c r="H7" s="36" t="s">
        <v>82</v>
      </c>
      <c r="I7" s="37" t="s">
        <v>83</v>
      </c>
      <c r="J7" s="70"/>
      <c r="K7" s="70"/>
      <c r="L7" s="70"/>
      <c r="M7" s="70"/>
      <c r="N7" s="70"/>
      <c r="AA7" s="43" t="s">
        <v>70</v>
      </c>
      <c r="AB7" s="36" t="s">
        <v>72</v>
      </c>
      <c r="AC7" s="38" t="s">
        <v>74</v>
      </c>
      <c r="AD7" s="155" t="s">
        <v>135</v>
      </c>
    </row>
    <row r="8" spans="1:32" ht="13.2" thickBot="1" x14ac:dyDescent="0.3">
      <c r="A8" s="44" t="s">
        <v>71</v>
      </c>
      <c r="B8" s="45" t="s">
        <v>73</v>
      </c>
      <c r="C8" s="46" t="s">
        <v>75</v>
      </c>
      <c r="D8" s="44" t="s">
        <v>71</v>
      </c>
      <c r="E8" s="45" t="s">
        <v>73</v>
      </c>
      <c r="F8" s="45" t="s">
        <v>71</v>
      </c>
      <c r="G8" s="45" t="s">
        <v>73</v>
      </c>
      <c r="H8" s="45" t="s">
        <v>75</v>
      </c>
      <c r="I8" s="46" t="s">
        <v>75</v>
      </c>
      <c r="J8" s="70" t="s">
        <v>98</v>
      </c>
      <c r="K8" s="70"/>
      <c r="L8" s="70"/>
      <c r="M8" s="70"/>
      <c r="N8" s="70"/>
      <c r="AA8" s="44" t="s">
        <v>71</v>
      </c>
      <c r="AB8" s="45" t="s">
        <v>73</v>
      </c>
      <c r="AC8" s="68" t="s">
        <v>75</v>
      </c>
      <c r="AD8" s="156" t="s">
        <v>92</v>
      </c>
    </row>
    <row r="9" spans="1:32" x14ac:dyDescent="0.25">
      <c r="A9" s="47">
        <v>0</v>
      </c>
      <c r="B9" s="48">
        <f>O3</f>
        <v>34.578919999999997</v>
      </c>
      <c r="C9" s="60">
        <f>U3</f>
        <v>0.25501099999999999</v>
      </c>
      <c r="D9" s="47"/>
      <c r="E9" s="48"/>
      <c r="F9" s="49"/>
      <c r="G9" s="48"/>
      <c r="H9" s="49"/>
      <c r="I9" s="50"/>
      <c r="J9" s="6">
        <f>A11</f>
        <v>700</v>
      </c>
      <c r="K9">
        <v>0</v>
      </c>
      <c r="L9">
        <v>0</v>
      </c>
      <c r="M9">
        <v>0</v>
      </c>
      <c r="AA9" s="157">
        <f>A9</f>
        <v>0</v>
      </c>
      <c r="AB9" s="158">
        <f>O4</f>
        <v>0</v>
      </c>
      <c r="AC9" s="159">
        <f>U4</f>
        <v>0</v>
      </c>
      <c r="AD9" s="160">
        <f>AA4</f>
        <v>0</v>
      </c>
    </row>
    <row r="10" spans="1:32" x14ac:dyDescent="0.25">
      <c r="A10" s="51">
        <f>(A9+A11)/2</f>
        <v>350</v>
      </c>
      <c r="B10" s="8">
        <f t="shared" ref="B10:B21" si="0">$O$3+$P$3*A10+$Q$3*A10^2+$R$3*A10^3+$S$3*A10^4+$T$3*A10^5</f>
        <v>34.024158746931249</v>
      </c>
      <c r="C10" s="55">
        <f t="shared" ref="C10:C21" si="1">$U$3+$V$3*A10+$W$3*A10^2+$X$3*A10^3+$Y$3*A10^4+$Z$3*A10^5</f>
        <v>0.29064644929765621</v>
      </c>
      <c r="D10" s="51"/>
      <c r="E10" s="8"/>
      <c r="F10" s="7"/>
      <c r="G10" s="8"/>
      <c r="H10" s="7"/>
      <c r="I10" s="52"/>
      <c r="J10" s="6">
        <f>A11</f>
        <v>700</v>
      </c>
      <c r="K10">
        <v>40</v>
      </c>
      <c r="L10">
        <v>0.7</v>
      </c>
      <c r="M10">
        <v>70</v>
      </c>
      <c r="AA10" s="51">
        <f t="shared" ref="AA10:AA21" si="2">A10</f>
        <v>350</v>
      </c>
      <c r="AB10" s="8">
        <f>$O$4+$P$4*A10+$Q$4*A10^2+$R$4*A10^3+$S$4*A10^4+$T$4*A10^5</f>
        <v>0</v>
      </c>
      <c r="AC10" s="161">
        <f>$U$4+$V$4*AA10+$W$4*AA10^2+$X$4*AA10^3+$Y$4*AA10^4+$Z$4*AA10^5</f>
        <v>0</v>
      </c>
      <c r="AD10" s="162">
        <f>$AA$4+$AB$4*AA10+$AC$4*AA10^2+$AD$4*AA10^3+$AE$4*AA10^4+$AF$4*AA10^5</f>
        <v>0</v>
      </c>
    </row>
    <row r="11" spans="1:32" s="39" customFormat="1" x14ac:dyDescent="0.25">
      <c r="A11" s="61">
        <f>$C$3</f>
        <v>700</v>
      </c>
      <c r="B11" s="41">
        <f t="shared" si="0"/>
        <v>32.470848099800001</v>
      </c>
      <c r="C11" s="54">
        <f t="shared" si="1"/>
        <v>0.33873762042499994</v>
      </c>
      <c r="D11" s="53">
        <f t="shared" ref="D11:D19" si="3">0.95*A11</f>
        <v>665</v>
      </c>
      <c r="E11" s="41">
        <f t="shared" ref="E11:E19" si="4">($O$3+$P$3*D11+$Q$3*D11^2+$R$3*D11^3+$S$3*D11^4+$T$3*D11^5)*1.05</f>
        <v>34.288794150098845</v>
      </c>
      <c r="F11" s="42">
        <f t="shared" ref="F11:F19" si="5">1.05*A11</f>
        <v>735</v>
      </c>
      <c r="G11" s="41">
        <f t="shared" ref="G11:G19" si="6">($O$3+$P$3*F11+$Q$3*F11^2+$R$3*F11^3+$S$3*F11^4+$T$3*F11^5)*0.95</f>
        <v>30.659498613341036</v>
      </c>
      <c r="H11" s="41">
        <f t="shared" ref="H11:H19" si="7">C11*0.92</f>
        <v>0.31163861079099997</v>
      </c>
      <c r="I11" s="54">
        <f t="shared" ref="I11:I19" si="8">1.08*C11</f>
        <v>0.36583663005899997</v>
      </c>
      <c r="J11" s="130" t="s">
        <v>96</v>
      </c>
      <c r="K11" s="130"/>
      <c r="L11" s="130"/>
      <c r="M11" s="130"/>
      <c r="N11" s="130"/>
      <c r="Q11" s="40"/>
      <c r="R11" s="40"/>
      <c r="S11" s="40"/>
      <c r="T11" s="40"/>
      <c r="AA11" s="51">
        <f t="shared" si="2"/>
        <v>700</v>
      </c>
      <c r="AB11" s="8">
        <f t="shared" ref="AB11:AB21" si="9">$O$4+$P$4*A11+$Q$4*A11^2+$R$4*A11^3+$S$4*A11^4+$T$4*A11^5</f>
        <v>0</v>
      </c>
      <c r="AC11" s="161">
        <f t="shared" ref="AC11:AC21" si="10">$U$4+$V$4*AA11+$W$4*AA11^2+$X$4*AA11^3+$Y$4*AA11^4+$Z$4*AA11^5</f>
        <v>0</v>
      </c>
      <c r="AD11" s="162">
        <f t="shared" ref="AD11:AD21" si="11">$AA$4+$AB$4*AA11+$AC$4*AA11^2+$AD$4*AA11^3+$AE$4*AA11^4+$AF$4*AA11^5</f>
        <v>0</v>
      </c>
    </row>
    <row r="12" spans="1:32" x14ac:dyDescent="0.25">
      <c r="A12" s="51">
        <f>(A11+A13)/2</f>
        <v>825</v>
      </c>
      <c r="B12" s="8">
        <f t="shared" si="0"/>
        <v>31.689462103857611</v>
      </c>
      <c r="C12" s="55">
        <f t="shared" si="1"/>
        <v>0.35255181358210447</v>
      </c>
      <c r="D12" s="51">
        <f t="shared" si="3"/>
        <v>783.75</v>
      </c>
      <c r="E12" s="8">
        <f t="shared" si="4"/>
        <v>33.570838087227592</v>
      </c>
      <c r="F12" s="7">
        <f t="shared" si="5"/>
        <v>866.25</v>
      </c>
      <c r="G12" s="8">
        <f t="shared" si="6"/>
        <v>29.807079605037579</v>
      </c>
      <c r="H12" s="8">
        <f t="shared" si="7"/>
        <v>0.32434766849553615</v>
      </c>
      <c r="I12" s="55">
        <f t="shared" si="8"/>
        <v>0.38075595866867284</v>
      </c>
      <c r="J12" s="131">
        <f>A15</f>
        <v>1200</v>
      </c>
      <c r="K12" s="130">
        <v>0</v>
      </c>
      <c r="L12" s="130">
        <v>0</v>
      </c>
      <c r="M12" s="130">
        <v>0</v>
      </c>
      <c r="N12" s="130"/>
      <c r="AA12" s="51">
        <f t="shared" si="2"/>
        <v>825</v>
      </c>
      <c r="AB12" s="8">
        <f t="shared" si="9"/>
        <v>0</v>
      </c>
      <c r="AC12" s="161">
        <f t="shared" si="10"/>
        <v>0</v>
      </c>
      <c r="AD12" s="162">
        <f t="shared" si="11"/>
        <v>0</v>
      </c>
    </row>
    <row r="13" spans="1:32" x14ac:dyDescent="0.25">
      <c r="A13" s="51">
        <f>(A11+A15)/2</f>
        <v>950</v>
      </c>
      <c r="B13" s="8">
        <f t="shared" si="0"/>
        <v>30.623455699956246</v>
      </c>
      <c r="C13" s="55">
        <f t="shared" si="1"/>
        <v>0.36344069891328118</v>
      </c>
      <c r="D13" s="51">
        <f t="shared" si="3"/>
        <v>902.5</v>
      </c>
      <c r="E13" s="8">
        <f t="shared" si="4"/>
        <v>32.624426296334313</v>
      </c>
      <c r="F13" s="7">
        <f t="shared" si="5"/>
        <v>997.5</v>
      </c>
      <c r="G13" s="8">
        <f t="shared" si="6"/>
        <v>28.608632418103369</v>
      </c>
      <c r="H13" s="8">
        <f t="shared" si="7"/>
        <v>0.3343654430002187</v>
      </c>
      <c r="I13" s="55">
        <f t="shared" si="8"/>
        <v>0.39251595482634372</v>
      </c>
      <c r="J13" s="131">
        <f>A15</f>
        <v>1200</v>
      </c>
      <c r="K13" s="130">
        <v>40</v>
      </c>
      <c r="L13" s="130">
        <v>0.7</v>
      </c>
      <c r="M13" s="130">
        <v>70</v>
      </c>
      <c r="N13" s="130"/>
      <c r="AA13" s="51">
        <f t="shared" si="2"/>
        <v>950</v>
      </c>
      <c r="AB13" s="8">
        <f t="shared" si="9"/>
        <v>0</v>
      </c>
      <c r="AC13" s="161">
        <f t="shared" si="10"/>
        <v>0</v>
      </c>
      <c r="AD13" s="162">
        <f t="shared" si="11"/>
        <v>0</v>
      </c>
    </row>
    <row r="14" spans="1:32" x14ac:dyDescent="0.25">
      <c r="A14" s="51">
        <f>(A13+A15)/2</f>
        <v>1075</v>
      </c>
      <c r="B14" s="8">
        <f t="shared" si="0"/>
        <v>29.130005821933786</v>
      </c>
      <c r="C14" s="55">
        <f t="shared" si="1"/>
        <v>0.37117844488166507</v>
      </c>
      <c r="D14" s="51">
        <f t="shared" si="3"/>
        <v>1021.25</v>
      </c>
      <c r="E14" s="8">
        <f t="shared" si="4"/>
        <v>31.325811230879737</v>
      </c>
      <c r="F14" s="7">
        <f t="shared" si="5"/>
        <v>1128.75</v>
      </c>
      <c r="G14" s="8">
        <f t="shared" si="6"/>
        <v>26.903546098432454</v>
      </c>
      <c r="H14" s="8">
        <f t="shared" si="7"/>
        <v>0.3414841692911319</v>
      </c>
      <c r="I14" s="55">
        <f t="shared" si="8"/>
        <v>0.4008727204721983</v>
      </c>
      <c r="J14" s="130" t="s">
        <v>99</v>
      </c>
      <c r="K14" s="130"/>
      <c r="L14" s="130"/>
      <c r="M14" s="130"/>
      <c r="N14" s="130"/>
      <c r="AA14" s="51">
        <f t="shared" si="2"/>
        <v>1075</v>
      </c>
      <c r="AB14" s="8">
        <f t="shared" si="9"/>
        <v>0</v>
      </c>
      <c r="AC14" s="161">
        <f t="shared" si="10"/>
        <v>0</v>
      </c>
      <c r="AD14" s="162">
        <f t="shared" si="11"/>
        <v>0</v>
      </c>
    </row>
    <row r="15" spans="1:32" s="39" customFormat="1" x14ac:dyDescent="0.25">
      <c r="A15" s="61">
        <f>$F$3</f>
        <v>1200</v>
      </c>
      <c r="B15" s="41">
        <f t="shared" si="0"/>
        <v>27.062060604799996</v>
      </c>
      <c r="C15" s="54">
        <f t="shared" si="1"/>
        <v>0.37581834079999993</v>
      </c>
      <c r="D15" s="53">
        <f t="shared" si="3"/>
        <v>1140</v>
      </c>
      <c r="E15" s="41">
        <f t="shared" si="4"/>
        <v>29.542132025608542</v>
      </c>
      <c r="F15" s="42">
        <f t="shared" si="5"/>
        <v>1260</v>
      </c>
      <c r="G15" s="41">
        <f t="shared" si="6"/>
        <v>24.533748216213777</v>
      </c>
      <c r="H15" s="41">
        <f t="shared" si="7"/>
        <v>0.34575287353599993</v>
      </c>
      <c r="I15" s="54">
        <f t="shared" si="8"/>
        <v>0.40588380806399993</v>
      </c>
      <c r="J15" s="131">
        <f>A19</f>
        <v>1700</v>
      </c>
      <c r="K15" s="130">
        <v>0</v>
      </c>
      <c r="L15" s="130">
        <v>0</v>
      </c>
      <c r="M15" s="130">
        <v>0</v>
      </c>
      <c r="N15" s="130"/>
      <c r="Q15" s="40"/>
      <c r="R15" s="40"/>
      <c r="S15" s="40"/>
      <c r="T15" s="40"/>
      <c r="AA15" s="51">
        <f t="shared" si="2"/>
        <v>1200</v>
      </c>
      <c r="AB15" s="8">
        <f t="shared" si="9"/>
        <v>0</v>
      </c>
      <c r="AC15" s="161">
        <f t="shared" si="10"/>
        <v>0</v>
      </c>
      <c r="AD15" s="162">
        <f t="shared" si="11"/>
        <v>0</v>
      </c>
    </row>
    <row r="16" spans="1:32" x14ac:dyDescent="0.25">
      <c r="A16" s="51">
        <f>(A15+A17)/2</f>
        <v>1325</v>
      </c>
      <c r="B16" s="8">
        <f t="shared" si="0"/>
        <v>24.285252983369322</v>
      </c>
      <c r="C16" s="55">
        <f t="shared" si="1"/>
        <v>0.37764609578083502</v>
      </c>
      <c r="D16" s="51">
        <f t="shared" si="3"/>
        <v>1258.75</v>
      </c>
      <c r="E16" s="8">
        <f t="shared" si="4"/>
        <v>27.145156287766291</v>
      </c>
      <c r="F16" s="7">
        <f t="shared" si="5"/>
        <v>1391.25</v>
      </c>
      <c r="G16" s="8">
        <f t="shared" si="6"/>
        <v>21.36421205431725</v>
      </c>
      <c r="H16" s="8">
        <f t="shared" si="7"/>
        <v>0.34743440811836823</v>
      </c>
      <c r="I16" s="55">
        <f t="shared" si="8"/>
        <v>0.40785778344330187</v>
      </c>
      <c r="J16" s="131">
        <f>A19</f>
        <v>1700</v>
      </c>
      <c r="K16" s="130">
        <v>40</v>
      </c>
      <c r="L16" s="130">
        <v>0.7</v>
      </c>
      <c r="M16" s="130">
        <v>70</v>
      </c>
      <c r="N16" s="130"/>
      <c r="AA16" s="51">
        <f t="shared" si="2"/>
        <v>1325</v>
      </c>
      <c r="AB16" s="8">
        <f t="shared" si="9"/>
        <v>0</v>
      </c>
      <c r="AC16" s="161">
        <f t="shared" si="10"/>
        <v>0</v>
      </c>
      <c r="AD16" s="162">
        <f t="shared" si="11"/>
        <v>0</v>
      </c>
    </row>
    <row r="17" spans="1:30" x14ac:dyDescent="0.25">
      <c r="A17" s="51">
        <f>(A15+A19)/2</f>
        <v>1450</v>
      </c>
      <c r="B17" s="8">
        <f t="shared" si="0"/>
        <v>20.694814290893756</v>
      </c>
      <c r="C17" s="55">
        <f t="shared" si="1"/>
        <v>0.37713313768671869</v>
      </c>
      <c r="D17" s="51">
        <f t="shared" si="3"/>
        <v>1377.5</v>
      </c>
      <c r="E17" s="8">
        <f t="shared" si="4"/>
        <v>24.025021888316367</v>
      </c>
      <c r="F17" s="7">
        <f t="shared" si="5"/>
        <v>1522.5</v>
      </c>
      <c r="G17" s="8">
        <f t="shared" si="6"/>
        <v>17.303463796679726</v>
      </c>
      <c r="H17" s="8">
        <f t="shared" si="7"/>
        <v>0.3469624866717812</v>
      </c>
      <c r="I17" s="55">
        <f t="shared" si="8"/>
        <v>0.40730378870165623</v>
      </c>
      <c r="J17" s="130"/>
      <c r="K17" s="130"/>
      <c r="L17" s="130"/>
      <c r="M17" s="130"/>
      <c r="N17" s="130"/>
      <c r="AA17" s="51">
        <f t="shared" si="2"/>
        <v>1450</v>
      </c>
      <c r="AB17" s="8">
        <f t="shared" si="9"/>
        <v>0</v>
      </c>
      <c r="AC17" s="161">
        <f t="shared" si="10"/>
        <v>0</v>
      </c>
      <c r="AD17" s="162">
        <f t="shared" si="11"/>
        <v>0</v>
      </c>
    </row>
    <row r="18" spans="1:30" x14ac:dyDescent="0.25">
      <c r="A18" s="51">
        <f>(A17+A19)/2</f>
        <v>1575</v>
      </c>
      <c r="B18" s="8">
        <f t="shared" si="0"/>
        <v>16.232487857695538</v>
      </c>
      <c r="C18" s="55">
        <f t="shared" si="1"/>
        <v>0.37488991208039563</v>
      </c>
      <c r="D18" s="51">
        <f t="shared" si="3"/>
        <v>1496.25</v>
      </c>
      <c r="E18" s="8">
        <f t="shared" si="4"/>
        <v>20.103978753156863</v>
      </c>
      <c r="F18" s="7">
        <f t="shared" si="5"/>
        <v>1653.75</v>
      </c>
      <c r="G18" s="8">
        <f t="shared" si="6"/>
        <v>12.324089716691173</v>
      </c>
      <c r="H18" s="8">
        <f t="shared" si="7"/>
        <v>0.34489871911396397</v>
      </c>
      <c r="I18" s="55">
        <f t="shared" si="8"/>
        <v>0.40488110504682728</v>
      </c>
      <c r="J18" s="130"/>
      <c r="K18" s="130"/>
      <c r="L18" s="130"/>
      <c r="M18" s="130"/>
      <c r="N18" s="130"/>
      <c r="AA18" s="51">
        <f t="shared" si="2"/>
        <v>1575</v>
      </c>
      <c r="AB18" s="8">
        <f t="shared" si="9"/>
        <v>0</v>
      </c>
      <c r="AC18" s="161">
        <f t="shared" si="10"/>
        <v>0</v>
      </c>
      <c r="AD18" s="162">
        <f t="shared" si="11"/>
        <v>0</v>
      </c>
    </row>
    <row r="19" spans="1:30" s="39" customFormat="1" x14ac:dyDescent="0.25">
      <c r="A19" s="61">
        <f>$J$3</f>
        <v>1700</v>
      </c>
      <c r="B19" s="41">
        <f t="shared" si="0"/>
        <v>10.90344260980001</v>
      </c>
      <c r="C19" s="54">
        <f t="shared" si="1"/>
        <v>0.37161918117500009</v>
      </c>
      <c r="D19" s="53">
        <f t="shared" si="3"/>
        <v>1615</v>
      </c>
      <c r="E19" s="41">
        <f t="shared" si="4"/>
        <v>15.350130654337521</v>
      </c>
      <c r="F19" s="42">
        <f t="shared" si="5"/>
        <v>1785</v>
      </c>
      <c r="G19" s="41">
        <f t="shared" si="6"/>
        <v>6.4832433655806634</v>
      </c>
      <c r="H19" s="41">
        <f t="shared" si="7"/>
        <v>0.34188964668100008</v>
      </c>
      <c r="I19" s="54">
        <f t="shared" si="8"/>
        <v>0.4013487156690001</v>
      </c>
      <c r="J19" s="130"/>
      <c r="K19" s="130"/>
      <c r="L19" s="130"/>
      <c r="M19" s="130"/>
      <c r="N19" s="130"/>
      <c r="Q19" s="40"/>
      <c r="R19" s="40"/>
      <c r="S19" s="40"/>
      <c r="T19" s="40"/>
      <c r="AA19" s="51">
        <f t="shared" si="2"/>
        <v>1700</v>
      </c>
      <c r="AB19" s="8">
        <f t="shared" si="9"/>
        <v>0</v>
      </c>
      <c r="AC19" s="161">
        <f t="shared" si="10"/>
        <v>0</v>
      </c>
      <c r="AD19" s="162">
        <f t="shared" si="11"/>
        <v>0</v>
      </c>
    </row>
    <row r="20" spans="1:30" x14ac:dyDescent="0.25">
      <c r="A20" s="51">
        <f>(A19+A21)/2</f>
        <v>1800</v>
      </c>
      <c r="B20" s="8">
        <f t="shared" si="0"/>
        <v>6.0704990191999997</v>
      </c>
      <c r="C20" s="55">
        <f t="shared" si="1"/>
        <v>0.3687653623999998</v>
      </c>
      <c r="D20" s="51"/>
      <c r="E20" s="8"/>
      <c r="F20" s="7"/>
      <c r="G20" s="8"/>
      <c r="H20" s="7"/>
      <c r="I20" s="52"/>
      <c r="AA20" s="51">
        <f t="shared" si="2"/>
        <v>1800</v>
      </c>
      <c r="AB20" s="8">
        <f t="shared" si="9"/>
        <v>0</v>
      </c>
      <c r="AC20" s="161">
        <f t="shared" si="10"/>
        <v>0</v>
      </c>
      <c r="AD20" s="162">
        <f t="shared" si="11"/>
        <v>0</v>
      </c>
    </row>
    <row r="21" spans="1:30" ht="13.2" thickBot="1" x14ac:dyDescent="0.3">
      <c r="A21" s="56">
        <f>$N$3</f>
        <v>1900</v>
      </c>
      <c r="B21" s="57">
        <f t="shared" si="0"/>
        <v>0.82352819660003718</v>
      </c>
      <c r="C21" s="62">
        <f t="shared" si="1"/>
        <v>0.36611774412499992</v>
      </c>
      <c r="D21" s="56"/>
      <c r="E21" s="57"/>
      <c r="F21" s="58"/>
      <c r="G21" s="57"/>
      <c r="H21" s="58"/>
      <c r="I21" s="59"/>
      <c r="AA21" s="56">
        <f t="shared" si="2"/>
        <v>1900</v>
      </c>
      <c r="AB21" s="57">
        <f t="shared" si="9"/>
        <v>0</v>
      </c>
      <c r="AC21" s="163">
        <f t="shared" si="10"/>
        <v>0</v>
      </c>
      <c r="AD21" s="164">
        <f t="shared" si="11"/>
        <v>0</v>
      </c>
    </row>
    <row r="49" spans="1:32" ht="13.2" x14ac:dyDescent="0.25">
      <c r="X49" s="441"/>
      <c r="Y49" s="441"/>
    </row>
    <row r="50" spans="1:32" ht="13.2" thickBot="1" x14ac:dyDescent="0.3">
      <c r="X50" s="124"/>
      <c r="Y50" s="125"/>
    </row>
    <row r="51" spans="1:32" ht="13.2" thickBot="1" x14ac:dyDescent="0.3">
      <c r="A51" s="448" t="s">
        <v>164</v>
      </c>
      <c r="B51" s="449"/>
      <c r="C51" s="449"/>
      <c r="D51" s="449"/>
      <c r="E51" s="449"/>
      <c r="F51" s="449"/>
      <c r="G51" s="449"/>
      <c r="H51" s="449"/>
      <c r="I51" s="449"/>
      <c r="J51" s="449"/>
      <c r="K51" s="449"/>
      <c r="L51" s="450"/>
      <c r="M51" s="69"/>
      <c r="X51" s="124"/>
      <c r="Y51" s="125"/>
    </row>
    <row r="52" spans="1:32" x14ac:dyDescent="0.25">
      <c r="A52" s="72" t="s">
        <v>2</v>
      </c>
      <c r="B52" s="71" t="s">
        <v>3</v>
      </c>
      <c r="C52" s="71" t="s">
        <v>4</v>
      </c>
      <c r="D52" s="71" t="s">
        <v>5</v>
      </c>
      <c r="E52" s="71" t="s">
        <v>6</v>
      </c>
      <c r="F52" s="73" t="s">
        <v>7</v>
      </c>
      <c r="G52" s="74" t="s">
        <v>8</v>
      </c>
      <c r="H52" s="75" t="s">
        <v>9</v>
      </c>
      <c r="I52" s="75" t="s">
        <v>10</v>
      </c>
      <c r="J52" s="75" t="s">
        <v>11</v>
      </c>
      <c r="K52" s="75" t="s">
        <v>12</v>
      </c>
      <c r="L52" s="76" t="s">
        <v>13</v>
      </c>
      <c r="M52" s="87"/>
      <c r="X52" s="124"/>
      <c r="Y52" s="125"/>
    </row>
    <row r="53" spans="1:32" ht="13.2" thickBot="1" x14ac:dyDescent="0.3">
      <c r="A53" s="77">
        <v>33.5443</v>
      </c>
      <c r="B53" s="78">
        <v>8.9144400000000003E-4</v>
      </c>
      <c r="C53" s="78">
        <v>4.6016930000000003E-7</v>
      </c>
      <c r="D53" s="78">
        <v>9.2655240000000005E-9</v>
      </c>
      <c r="E53" s="78">
        <v>-1.6258970000000001E-11</v>
      </c>
      <c r="F53" s="79">
        <v>4.6685809999999996E-15</v>
      </c>
      <c r="G53" s="205">
        <v>0.26505289999999998</v>
      </c>
      <c r="H53" s="206">
        <v>-1.7818719999999999E-4</v>
      </c>
      <c r="I53" s="206">
        <v>1.162726E-6</v>
      </c>
      <c r="J53" s="206">
        <v>-1.3167E-9</v>
      </c>
      <c r="K53" s="206">
        <v>5.8062090000000002E-13</v>
      </c>
      <c r="L53" s="207">
        <v>-8.7936129999999999E-17</v>
      </c>
      <c r="M53" s="83"/>
      <c r="X53" s="124"/>
      <c r="Y53" s="125"/>
    </row>
    <row r="54" spans="1:32" x14ac:dyDescent="0.25">
      <c r="X54" s="126"/>
      <c r="Y54" s="125"/>
    </row>
    <row r="55" spans="1:32" ht="13.2" thickBot="1" x14ac:dyDescent="0.3"/>
    <row r="56" spans="1:32" ht="13.2" thickBot="1" x14ac:dyDescent="0.3">
      <c r="A56" s="458" t="s">
        <v>150</v>
      </c>
      <c r="B56" s="459"/>
      <c r="C56" s="172">
        <v>1</v>
      </c>
      <c r="D56" s="456" t="s">
        <v>149</v>
      </c>
      <c r="E56" s="457"/>
      <c r="F56" s="457"/>
      <c r="G56" s="172">
        <v>62</v>
      </c>
      <c r="H56" s="445" t="s">
        <v>88</v>
      </c>
      <c r="I56" s="446"/>
      <c r="J56" s="446"/>
      <c r="K56" s="460"/>
      <c r="L56" s="460"/>
      <c r="M56" s="460"/>
      <c r="N56" s="460"/>
      <c r="O56" s="460"/>
      <c r="P56" s="461"/>
      <c r="Q56" s="451" t="s">
        <v>76</v>
      </c>
      <c r="R56" s="452"/>
      <c r="S56" s="453"/>
      <c r="T56" s="445" t="s">
        <v>90</v>
      </c>
      <c r="U56" s="446"/>
      <c r="V56" s="446"/>
      <c r="W56" s="454"/>
      <c r="AA56" s="3"/>
      <c r="AB56" s="3"/>
      <c r="AC56" s="3"/>
      <c r="AD56" s="3"/>
    </row>
    <row r="57" spans="1:32" ht="13.2" thickBot="1" x14ac:dyDescent="0.3">
      <c r="A57" s="448" t="s">
        <v>148</v>
      </c>
      <c r="B57" s="449"/>
      <c r="C57" s="449"/>
      <c r="D57" s="449"/>
      <c r="E57" s="449"/>
      <c r="F57" s="449"/>
      <c r="G57" s="450"/>
      <c r="H57" s="445" t="s">
        <v>87</v>
      </c>
      <c r="I57" s="455"/>
      <c r="J57" s="455"/>
      <c r="K57" s="460"/>
      <c r="L57" s="460"/>
      <c r="M57" s="460"/>
      <c r="N57" s="460"/>
      <c r="O57" s="460"/>
      <c r="P57" s="461"/>
      <c r="Q57" s="445" t="s">
        <v>87</v>
      </c>
      <c r="R57" s="455"/>
      <c r="S57" s="454"/>
      <c r="T57" s="445" t="s">
        <v>87</v>
      </c>
      <c r="U57" s="455"/>
      <c r="V57" s="455"/>
      <c r="W57" s="454"/>
      <c r="X57" s="445" t="s">
        <v>77</v>
      </c>
      <c r="Y57" s="446"/>
      <c r="Z57" s="446"/>
      <c r="AA57" s="446"/>
      <c r="AB57" s="447"/>
      <c r="AC57" s="3"/>
      <c r="AD57" s="3"/>
    </row>
    <row r="58" spans="1:32" x14ac:dyDescent="0.25">
      <c r="A58" s="47" t="s">
        <v>139</v>
      </c>
      <c r="B58" s="36" t="s">
        <v>70</v>
      </c>
      <c r="C58" s="36" t="s">
        <v>142</v>
      </c>
      <c r="D58" s="36" t="s">
        <v>144</v>
      </c>
      <c r="E58" s="165" t="s">
        <v>151</v>
      </c>
      <c r="F58" s="165" t="s">
        <v>146</v>
      </c>
      <c r="G58" s="155" t="s">
        <v>147</v>
      </c>
      <c r="H58" s="43" t="s">
        <v>153</v>
      </c>
      <c r="I58" s="165" t="s">
        <v>154</v>
      </c>
      <c r="J58" s="155" t="s">
        <v>155</v>
      </c>
      <c r="K58" s="43" t="s">
        <v>156</v>
      </c>
      <c r="L58" s="165" t="s">
        <v>157</v>
      </c>
      <c r="M58" s="179" t="s">
        <v>158</v>
      </c>
      <c r="N58" s="43" t="s">
        <v>160</v>
      </c>
      <c r="O58" s="165" t="s">
        <v>161</v>
      </c>
      <c r="P58" s="155" t="s">
        <v>162</v>
      </c>
      <c r="Q58" s="43" t="s">
        <v>70</v>
      </c>
      <c r="R58" s="36" t="s">
        <v>72</v>
      </c>
      <c r="S58" s="37" t="s">
        <v>74</v>
      </c>
      <c r="T58" s="43" t="s">
        <v>70</v>
      </c>
      <c r="U58" s="36" t="s">
        <v>72</v>
      </c>
      <c r="V58" s="36" t="s">
        <v>74</v>
      </c>
      <c r="W58" s="37" t="s">
        <v>93</v>
      </c>
      <c r="X58" s="88" t="s">
        <v>81</v>
      </c>
      <c r="Y58" s="80" t="s">
        <v>79</v>
      </c>
      <c r="Z58" s="80" t="s">
        <v>82</v>
      </c>
      <c r="AA58" s="81" t="s">
        <v>83</v>
      </c>
      <c r="AB58" s="96" t="s">
        <v>91</v>
      </c>
      <c r="AC58" s="442" t="s">
        <v>94</v>
      </c>
      <c r="AD58" s="443"/>
      <c r="AE58" s="444"/>
    </row>
    <row r="59" spans="1:32" ht="13.2" thickBot="1" x14ac:dyDescent="0.3">
      <c r="A59" s="44" t="s">
        <v>141</v>
      </c>
      <c r="B59" s="45" t="s">
        <v>140</v>
      </c>
      <c r="C59" s="45" t="s">
        <v>143</v>
      </c>
      <c r="D59" s="45" t="s">
        <v>145</v>
      </c>
      <c r="E59" s="176" t="s">
        <v>89</v>
      </c>
      <c r="F59" s="176" t="s">
        <v>89</v>
      </c>
      <c r="G59" s="59" t="s">
        <v>152</v>
      </c>
      <c r="H59" s="44" t="s">
        <v>71</v>
      </c>
      <c r="I59" s="176" t="s">
        <v>71</v>
      </c>
      <c r="J59" s="59" t="s">
        <v>163</v>
      </c>
      <c r="K59" s="44" t="s">
        <v>73</v>
      </c>
      <c r="L59" s="176" t="s">
        <v>73</v>
      </c>
      <c r="M59" s="180" t="s">
        <v>163</v>
      </c>
      <c r="N59" s="44" t="s">
        <v>159</v>
      </c>
      <c r="O59" s="176" t="s">
        <v>159</v>
      </c>
      <c r="P59" s="59" t="s">
        <v>163</v>
      </c>
      <c r="Q59" s="44" t="s">
        <v>71</v>
      </c>
      <c r="R59" s="45" t="s">
        <v>73</v>
      </c>
      <c r="S59" s="46" t="s">
        <v>75</v>
      </c>
      <c r="T59" s="44" t="s">
        <v>71</v>
      </c>
      <c r="U59" s="45" t="s">
        <v>73</v>
      </c>
      <c r="V59" s="45" t="s">
        <v>75</v>
      </c>
      <c r="W59" s="46" t="s">
        <v>92</v>
      </c>
      <c r="X59" s="89" t="s">
        <v>73</v>
      </c>
      <c r="Y59" s="45" t="s">
        <v>73</v>
      </c>
      <c r="Z59" s="45" t="s">
        <v>75</v>
      </c>
      <c r="AA59" s="68" t="s">
        <v>75</v>
      </c>
      <c r="AB59" s="95" t="s">
        <v>92</v>
      </c>
      <c r="AC59" s="44" t="s">
        <v>72</v>
      </c>
      <c r="AD59" s="45" t="s">
        <v>74</v>
      </c>
      <c r="AE59" s="46" t="s">
        <v>93</v>
      </c>
    </row>
    <row r="60" spans="1:32" x14ac:dyDescent="0.25">
      <c r="A60" s="181">
        <v>4.6829999999999998</v>
      </c>
      <c r="B60" s="174">
        <v>5.4</v>
      </c>
      <c r="C60" s="175">
        <v>2997.5</v>
      </c>
      <c r="D60" s="174">
        <v>23.95</v>
      </c>
      <c r="E60" s="187">
        <f>ROUND(C60*D60/9549,3)</f>
        <v>7.5179999999999998</v>
      </c>
      <c r="F60" s="173">
        <v>7.5170000000000003</v>
      </c>
      <c r="G60" s="184" t="str">
        <f>IF(OR(E60-F60&gt;0.001*F60,E60-F60&lt;(-0.001)*F60),"ALARM","OK")</f>
        <v>OK</v>
      </c>
      <c r="H60" s="188">
        <f>ROUNDUP((B60*6.28981)*(3500/C60),1)</f>
        <v>39.700000000000003</v>
      </c>
      <c r="I60" s="191">
        <v>39.659999999999997</v>
      </c>
      <c r="J60" s="204" t="str">
        <f>IF(OR(H60-I60&gt;0.005*I60,H60-I60&lt;(-0.005)*I60),"ALARM","OK")</f>
        <v>OK</v>
      </c>
      <c r="K60" s="195">
        <f t="shared" ref="K60:K70" si="12">ROUNDUP((A60*(1000/9.81)*$C$56*3.28/$G$56)*(3500/C60)^2,2)</f>
        <v>34.44</v>
      </c>
      <c r="L60" s="174">
        <v>33.56</v>
      </c>
      <c r="M60" s="196" t="str">
        <f t="shared" ref="M60:M70" si="13">IF(OR(K60-L60&gt;0.005*L60,K60-L60&lt;(-0.005)*L60),"ALARM","OK")</f>
        <v>ALARM</v>
      </c>
      <c r="N60" s="198">
        <f>ROUNDUP((F60/(0.746*$G$56))*(3500/C60)^3,3)</f>
        <v>0.25900000000000001</v>
      </c>
      <c r="O60" s="173">
        <v>0.25900000000000001</v>
      </c>
      <c r="P60" s="184" t="str">
        <f t="shared" ref="P60:P70" si="14">IF(OR(N60-O60&gt;0.005*O60,N60-O60&lt;(-0.005)*O60),"ALARM","OK")</f>
        <v>OK</v>
      </c>
      <c r="Q60" s="47">
        <v>0</v>
      </c>
      <c r="R60" s="48">
        <f>B9</f>
        <v>34.578919999999997</v>
      </c>
      <c r="S60" s="60">
        <f>C9</f>
        <v>0.25501099999999999</v>
      </c>
      <c r="T60" s="47">
        <v>0</v>
      </c>
      <c r="U60" s="48">
        <f>A53</f>
        <v>33.5443</v>
      </c>
      <c r="V60" s="48">
        <f>G53</f>
        <v>0.26505289999999998</v>
      </c>
      <c r="W60" s="91"/>
      <c r="X60" s="117"/>
      <c r="Y60" s="114"/>
      <c r="Z60" s="114"/>
      <c r="AA60" s="109"/>
      <c r="AB60" s="82"/>
      <c r="AC60" s="103"/>
      <c r="AD60" s="106"/>
      <c r="AE60" s="97"/>
    </row>
    <row r="61" spans="1:32" x14ac:dyDescent="0.25">
      <c r="A61" s="182">
        <v>4.7759999999999998</v>
      </c>
      <c r="B61" s="167">
        <v>53.46</v>
      </c>
      <c r="C61" s="168">
        <v>2995.1</v>
      </c>
      <c r="D61" s="167">
        <v>28.85</v>
      </c>
      <c r="E61" s="144">
        <f t="shared" ref="E61:E70" si="15">ROUND(C61*D61/9549,3)</f>
        <v>9.0489999999999995</v>
      </c>
      <c r="F61" s="166">
        <v>9.0449999999999999</v>
      </c>
      <c r="G61" s="185" t="str">
        <f t="shared" ref="G61:G70" si="16">IF(OR(E61-F61&gt;0.001*F61,E61-F61&lt;(-0.001)*F61),"ALARM","OK")</f>
        <v>OK</v>
      </c>
      <c r="H61" s="189">
        <f t="shared" ref="H61:H70" si="17">ROUNDUP((B61*6.28981)*(3500/C61),1)</f>
        <v>393</v>
      </c>
      <c r="I61" s="167">
        <v>392.94</v>
      </c>
      <c r="J61" s="185" t="str">
        <f t="shared" ref="J61:J70" si="18">IF(OR(H61-I61&gt;0.005*I61,H61-I61&lt;(-0.005)*I61),"ALARM","OK")</f>
        <v>OK</v>
      </c>
      <c r="K61" s="146">
        <f t="shared" si="12"/>
        <v>35.18</v>
      </c>
      <c r="L61" s="167">
        <v>34.31</v>
      </c>
      <c r="M61" s="197" t="str">
        <f t="shared" si="13"/>
        <v>ALARM</v>
      </c>
      <c r="N61" s="199">
        <f t="shared" ref="N61:N70" si="19">ROUNDUP((F61/(0.746*$G$56))*(3500/C61)^3,3)</f>
        <v>0.313</v>
      </c>
      <c r="O61" s="166">
        <v>0.312</v>
      </c>
      <c r="P61" s="185" t="str">
        <f t="shared" si="14"/>
        <v>OK</v>
      </c>
      <c r="Q61" s="51">
        <f>(Q60+Q62)/2</f>
        <v>350</v>
      </c>
      <c r="R61" s="8">
        <f t="shared" ref="R61:R72" si="20">$O$3+$P$3*Q61+$Q$3*Q61^2+$R$3*Q61^3+$S$3*Q61^4+$T$3*Q61^5</f>
        <v>34.024158746931249</v>
      </c>
      <c r="S61" s="55">
        <f t="shared" ref="S61:S72" si="21">$U$3+$V$3*Q61+$W$3*Q61^2+$X$3*Q61^3+$Y$3*Q61^4+$Z$3*Q61^5</f>
        <v>0.29064644929765621</v>
      </c>
      <c r="T61" s="51">
        <f>(T60+T62)/2</f>
        <v>350</v>
      </c>
      <c r="U61" s="8">
        <f t="shared" ref="U61:U72" si="22">$A$53+$B$53*T61+$C$53*T61^2+$D$53*T61^3+$E$53*T61^4+$F$53*T61^5</f>
        <v>34.090469574958433</v>
      </c>
      <c r="V61" s="8">
        <f t="shared" ref="V61:V72" si="23">$G$53+$H$53*T61+$I$53*T61^2+$J$53*T61^3+$K$53*T61^4+$L$53*T61^5</f>
        <v>0.29691888783784059</v>
      </c>
      <c r="W61" s="92"/>
      <c r="X61" s="118"/>
      <c r="Y61" s="115"/>
      <c r="Z61" s="115"/>
      <c r="AA61" s="110"/>
      <c r="AB61" s="83"/>
      <c r="AC61" s="104"/>
      <c r="AD61" s="107"/>
      <c r="AE61" s="98"/>
    </row>
    <row r="62" spans="1:32" x14ac:dyDescent="0.25">
      <c r="A62" s="182">
        <v>4.7140000000000004</v>
      </c>
      <c r="B62" s="167">
        <v>104.44</v>
      </c>
      <c r="C62" s="168">
        <v>2993.9</v>
      </c>
      <c r="D62" s="167">
        <v>35.479999999999997</v>
      </c>
      <c r="E62" s="144">
        <f t="shared" si="15"/>
        <v>11.124000000000001</v>
      </c>
      <c r="F62" s="166">
        <v>11.12</v>
      </c>
      <c r="G62" s="185" t="str">
        <f t="shared" si="16"/>
        <v>OK</v>
      </c>
      <c r="H62" s="190">
        <f t="shared" si="17"/>
        <v>768</v>
      </c>
      <c r="I62" s="167">
        <v>767.93</v>
      </c>
      <c r="J62" s="185" t="str">
        <f t="shared" si="18"/>
        <v>OK</v>
      </c>
      <c r="K62" s="192">
        <f t="shared" si="12"/>
        <v>34.75</v>
      </c>
      <c r="L62" s="167">
        <v>33.9</v>
      </c>
      <c r="M62" s="197" t="str">
        <f t="shared" si="13"/>
        <v>ALARM</v>
      </c>
      <c r="N62" s="200">
        <f t="shared" si="19"/>
        <v>0.38500000000000001</v>
      </c>
      <c r="O62" s="166">
        <v>0.38400000000000001</v>
      </c>
      <c r="P62" s="185" t="str">
        <f t="shared" si="14"/>
        <v>OK</v>
      </c>
      <c r="Q62" s="61">
        <f>$C$3</f>
        <v>700</v>
      </c>
      <c r="R62" s="41">
        <f t="shared" si="20"/>
        <v>32.470848099800001</v>
      </c>
      <c r="S62" s="54">
        <f t="shared" si="21"/>
        <v>0.33873762042499994</v>
      </c>
      <c r="T62" s="61">
        <f>$C$3</f>
        <v>700</v>
      </c>
      <c r="U62" s="41">
        <f t="shared" si="22"/>
        <v>34.452738200669998</v>
      </c>
      <c r="V62" s="41">
        <f t="shared" si="23"/>
        <v>0.38305715272089985</v>
      </c>
      <c r="W62" s="94">
        <f t="shared" ref="W62:W70" si="24">(T62*U62*100)/(135788*V62)</f>
        <v>46.365699494073226</v>
      </c>
      <c r="X62" s="84">
        <f t="shared" ref="X62:X70" si="25">E11</f>
        <v>34.288794150098845</v>
      </c>
      <c r="Y62" s="112">
        <f t="shared" ref="Y62:Y70" si="26">G11</f>
        <v>30.659498613341036</v>
      </c>
      <c r="Z62" s="112">
        <f t="shared" ref="Z62:Z70" si="27">H11</f>
        <v>0.31163861079099997</v>
      </c>
      <c r="AA62" s="112">
        <f t="shared" ref="AA62:AA70" si="28">I11</f>
        <v>0.36583663005899997</v>
      </c>
      <c r="AB62" s="83"/>
      <c r="AC62" s="120" t="str">
        <f t="shared" ref="AC62:AC70" si="29">IF(OR(U62&gt;X62,U62&lt;Y62),"FAIL","PASS")</f>
        <v>FAIL</v>
      </c>
      <c r="AD62" s="121" t="str">
        <f t="shared" ref="AD62:AD70" si="30">IF(OR(V62&gt;AA62,V62&lt;Z62),"FAIL","PASS")</f>
        <v>FAIL</v>
      </c>
      <c r="AE62" s="101"/>
      <c r="AF62" s="123" t="s">
        <v>95</v>
      </c>
    </row>
    <row r="63" spans="1:32" x14ac:dyDescent="0.25">
      <c r="A63" s="182">
        <v>4.6539999999999999</v>
      </c>
      <c r="B63" s="167">
        <v>124.74</v>
      </c>
      <c r="C63" s="168">
        <v>2994.1</v>
      </c>
      <c r="D63" s="167">
        <v>38.57</v>
      </c>
      <c r="E63" s="144">
        <f t="shared" si="15"/>
        <v>12.093999999999999</v>
      </c>
      <c r="F63" s="166">
        <v>12.090999999999999</v>
      </c>
      <c r="G63" s="185" t="str">
        <f t="shared" si="16"/>
        <v>OK</v>
      </c>
      <c r="H63" s="189">
        <f t="shared" si="17"/>
        <v>917.2</v>
      </c>
      <c r="I63" s="167">
        <v>917.17</v>
      </c>
      <c r="J63" s="185" t="str">
        <f t="shared" si="18"/>
        <v>OK</v>
      </c>
      <c r="K63" s="146">
        <f t="shared" si="12"/>
        <v>34.299999999999997</v>
      </c>
      <c r="L63" s="167">
        <v>33.450000000000003</v>
      </c>
      <c r="M63" s="197" t="str">
        <f t="shared" si="13"/>
        <v>ALARM</v>
      </c>
      <c r="N63" s="201">
        <f t="shared" si="19"/>
        <v>0.41799999999999998</v>
      </c>
      <c r="O63" s="166">
        <v>0.41799999999999998</v>
      </c>
      <c r="P63" s="185" t="str">
        <f t="shared" si="14"/>
        <v>OK</v>
      </c>
      <c r="Q63" s="51">
        <f>(Q62+Q64)/2</f>
        <v>825</v>
      </c>
      <c r="R63" s="8">
        <f t="shared" si="20"/>
        <v>31.689462103857611</v>
      </c>
      <c r="S63" s="55">
        <f t="shared" si="21"/>
        <v>0.35255181358210447</v>
      </c>
      <c r="T63" s="51">
        <f>(T62+T64)/2</f>
        <v>825</v>
      </c>
      <c r="U63" s="8">
        <f t="shared" si="22"/>
        <v>34.047951952794271</v>
      </c>
      <c r="V63" s="8">
        <f t="shared" si="23"/>
        <v>0.40544651062018461</v>
      </c>
      <c r="W63" s="127">
        <f t="shared" si="24"/>
        <v>51.02111944342321</v>
      </c>
      <c r="X63" s="85">
        <f t="shared" si="25"/>
        <v>33.570838087227592</v>
      </c>
      <c r="Y63" s="113">
        <f t="shared" si="26"/>
        <v>29.807079605037579</v>
      </c>
      <c r="Z63" s="113">
        <f t="shared" si="27"/>
        <v>0.32434766849553615</v>
      </c>
      <c r="AA63" s="113">
        <f t="shared" si="28"/>
        <v>0.38075595866867284</v>
      </c>
      <c r="AB63" s="83"/>
      <c r="AC63" s="99" t="str">
        <f t="shared" si="29"/>
        <v>FAIL</v>
      </c>
      <c r="AD63" s="100" t="str">
        <f t="shared" si="30"/>
        <v>FAIL</v>
      </c>
      <c r="AE63" s="101"/>
    </row>
    <row r="64" spans="1:32" x14ac:dyDescent="0.25">
      <c r="A64" s="182">
        <v>4.4720000000000004</v>
      </c>
      <c r="B64" s="167">
        <v>145.84</v>
      </c>
      <c r="C64" s="168">
        <v>2994.6</v>
      </c>
      <c r="D64" s="167">
        <v>40.69</v>
      </c>
      <c r="E64" s="144">
        <f t="shared" si="15"/>
        <v>12.760999999999999</v>
      </c>
      <c r="F64" s="166">
        <v>12.757999999999999</v>
      </c>
      <c r="G64" s="185" t="str">
        <f t="shared" si="16"/>
        <v>OK</v>
      </c>
      <c r="H64" s="189">
        <f t="shared" si="17"/>
        <v>1072.1999999999998</v>
      </c>
      <c r="I64" s="167">
        <v>1072.0999999999999</v>
      </c>
      <c r="J64" s="185" t="str">
        <f t="shared" si="18"/>
        <v>OK</v>
      </c>
      <c r="K64" s="146">
        <f t="shared" si="12"/>
        <v>32.949999999999996</v>
      </c>
      <c r="L64" s="167">
        <v>32.1</v>
      </c>
      <c r="M64" s="197" t="str">
        <f t="shared" si="13"/>
        <v>ALARM</v>
      </c>
      <c r="N64" s="201">
        <f t="shared" si="19"/>
        <v>0.441</v>
      </c>
      <c r="O64" s="166">
        <v>0.441</v>
      </c>
      <c r="P64" s="185" t="str">
        <f t="shared" si="14"/>
        <v>OK</v>
      </c>
      <c r="Q64" s="51">
        <f>(Q62+Q66)/2</f>
        <v>950</v>
      </c>
      <c r="R64" s="8">
        <f t="shared" si="20"/>
        <v>30.623455699956246</v>
      </c>
      <c r="S64" s="55">
        <f t="shared" si="21"/>
        <v>0.36344069891328118</v>
      </c>
      <c r="T64" s="51">
        <f>(T62+T66)/2</f>
        <v>950</v>
      </c>
      <c r="U64" s="8">
        <f t="shared" si="22"/>
        <v>33.119929532162196</v>
      </c>
      <c r="V64" s="8">
        <f t="shared" si="23"/>
        <v>0.42110566331910304</v>
      </c>
      <c r="W64" s="127">
        <f t="shared" si="24"/>
        <v>55.025061358872186</v>
      </c>
      <c r="X64" s="85">
        <f t="shared" si="25"/>
        <v>32.624426296334313</v>
      </c>
      <c r="Y64" s="113">
        <f t="shared" si="26"/>
        <v>28.608632418103369</v>
      </c>
      <c r="Z64" s="113">
        <f t="shared" si="27"/>
        <v>0.3343654430002187</v>
      </c>
      <c r="AA64" s="113">
        <f t="shared" si="28"/>
        <v>0.39251595482634372</v>
      </c>
      <c r="AB64" s="83"/>
      <c r="AC64" s="99" t="str">
        <f t="shared" si="29"/>
        <v>FAIL</v>
      </c>
      <c r="AD64" s="100" t="str">
        <f t="shared" si="30"/>
        <v>FAIL</v>
      </c>
      <c r="AE64" s="101"/>
    </row>
    <row r="65" spans="1:32" x14ac:dyDescent="0.25">
      <c r="A65" s="182">
        <v>3.95</v>
      </c>
      <c r="B65" s="167">
        <v>167.8</v>
      </c>
      <c r="C65" s="168">
        <v>2993.5</v>
      </c>
      <c r="D65" s="167">
        <v>41.04</v>
      </c>
      <c r="E65" s="144">
        <f t="shared" si="15"/>
        <v>12.866</v>
      </c>
      <c r="F65" s="166">
        <v>12.861000000000001</v>
      </c>
      <c r="G65" s="185" t="str">
        <f t="shared" si="16"/>
        <v>OK</v>
      </c>
      <c r="H65" s="189">
        <f t="shared" si="17"/>
        <v>1234.0999999999999</v>
      </c>
      <c r="I65" s="167">
        <v>1233.99</v>
      </c>
      <c r="J65" s="185" t="str">
        <f t="shared" si="18"/>
        <v>OK</v>
      </c>
      <c r="K65" s="146">
        <f t="shared" si="12"/>
        <v>29.12</v>
      </c>
      <c r="L65" s="167">
        <v>28.29</v>
      </c>
      <c r="M65" s="197" t="str">
        <f t="shared" si="13"/>
        <v>ALARM</v>
      </c>
      <c r="N65" s="201">
        <f t="shared" si="19"/>
        <v>0.44500000000000001</v>
      </c>
      <c r="O65" s="166">
        <v>0.44500000000000001</v>
      </c>
      <c r="P65" s="185" t="str">
        <f t="shared" si="14"/>
        <v>OK</v>
      </c>
      <c r="Q65" s="51">
        <f>(Q64+Q66)/2</f>
        <v>1075</v>
      </c>
      <c r="R65" s="8">
        <f t="shared" si="20"/>
        <v>29.130005821933786</v>
      </c>
      <c r="S65" s="55">
        <f t="shared" si="21"/>
        <v>0.37117844488166507</v>
      </c>
      <c r="T65" s="51">
        <f>(T64+T66)/2</f>
        <v>1075</v>
      </c>
      <c r="U65" s="8">
        <f t="shared" si="22"/>
        <v>31.533916059611165</v>
      </c>
      <c r="V65" s="8">
        <f t="shared" si="23"/>
        <v>0.43060220573135166</v>
      </c>
      <c r="W65" s="127">
        <f t="shared" si="24"/>
        <v>57.976064254782131</v>
      </c>
      <c r="X65" s="85">
        <f t="shared" si="25"/>
        <v>31.325811230879737</v>
      </c>
      <c r="Y65" s="113">
        <f t="shared" si="26"/>
        <v>26.903546098432454</v>
      </c>
      <c r="Z65" s="113">
        <f t="shared" si="27"/>
        <v>0.3414841692911319</v>
      </c>
      <c r="AA65" s="113">
        <f t="shared" si="28"/>
        <v>0.4008727204721983</v>
      </c>
      <c r="AB65" s="83"/>
      <c r="AC65" s="99" t="str">
        <f t="shared" si="29"/>
        <v>FAIL</v>
      </c>
      <c r="AD65" s="100" t="str">
        <f t="shared" si="30"/>
        <v>FAIL</v>
      </c>
      <c r="AE65" s="101"/>
    </row>
    <row r="66" spans="1:32" x14ac:dyDescent="0.25">
      <c r="A66" s="182">
        <v>3.48</v>
      </c>
      <c r="B66" s="167">
        <v>185.58</v>
      </c>
      <c r="C66" s="168">
        <v>2993.3</v>
      </c>
      <c r="D66" s="167">
        <v>40.25</v>
      </c>
      <c r="E66" s="144">
        <f t="shared" si="15"/>
        <v>12.617000000000001</v>
      </c>
      <c r="F66" s="166">
        <v>12.614000000000001</v>
      </c>
      <c r="G66" s="185" t="str">
        <f t="shared" si="16"/>
        <v>OK</v>
      </c>
      <c r="H66" s="190">
        <f t="shared" si="17"/>
        <v>1364.8999999999999</v>
      </c>
      <c r="I66" s="167">
        <v>1364.87</v>
      </c>
      <c r="J66" s="185" t="str">
        <f t="shared" si="18"/>
        <v>OK</v>
      </c>
      <c r="K66" s="192">
        <f t="shared" si="12"/>
        <v>25.66</v>
      </c>
      <c r="L66" s="167">
        <v>24.83</v>
      </c>
      <c r="M66" s="197" t="str">
        <f t="shared" si="13"/>
        <v>ALARM</v>
      </c>
      <c r="N66" s="200">
        <f t="shared" si="19"/>
        <v>0.436</v>
      </c>
      <c r="O66" s="166">
        <v>0.436</v>
      </c>
      <c r="P66" s="185" t="str">
        <f t="shared" si="14"/>
        <v>OK</v>
      </c>
      <c r="Q66" s="61">
        <f>$F$3</f>
        <v>1200</v>
      </c>
      <c r="R66" s="41">
        <f t="shared" si="20"/>
        <v>27.062060604799996</v>
      </c>
      <c r="S66" s="54">
        <f t="shared" si="21"/>
        <v>0.37581834079999993</v>
      </c>
      <c r="T66" s="61">
        <f>$F$3</f>
        <v>1200</v>
      </c>
      <c r="U66" s="41">
        <f t="shared" si="22"/>
        <v>29.189825345919992</v>
      </c>
      <c r="V66" s="41">
        <f t="shared" si="23"/>
        <v>0.43545836723839981</v>
      </c>
      <c r="W66" s="94">
        <f t="shared" si="24"/>
        <v>59.238589736026597</v>
      </c>
      <c r="X66" s="84">
        <f t="shared" si="25"/>
        <v>29.542132025608542</v>
      </c>
      <c r="Y66" s="112">
        <f t="shared" si="26"/>
        <v>24.533748216213777</v>
      </c>
      <c r="Z66" s="112">
        <f t="shared" si="27"/>
        <v>0.34575287353599993</v>
      </c>
      <c r="AA66" s="112">
        <f t="shared" si="28"/>
        <v>0.40588380806399993</v>
      </c>
      <c r="AB66" s="90">
        <f>0.9*I3</f>
        <v>57.278896193482765</v>
      </c>
      <c r="AC66" s="120" t="str">
        <f t="shared" si="29"/>
        <v>PASS</v>
      </c>
      <c r="AD66" s="121" t="str">
        <f t="shared" si="30"/>
        <v>FAIL</v>
      </c>
      <c r="AE66" s="122" t="str">
        <f>IF(W66&lt;AB66,"FAIL","PASS")</f>
        <v>PASS</v>
      </c>
      <c r="AF66" s="123" t="s">
        <v>96</v>
      </c>
    </row>
    <row r="67" spans="1:32" x14ac:dyDescent="0.25">
      <c r="A67" s="182">
        <v>2.847</v>
      </c>
      <c r="B67" s="167">
        <v>204.09</v>
      </c>
      <c r="C67" s="168">
        <v>2994.3</v>
      </c>
      <c r="D67" s="167">
        <v>39.119999999999997</v>
      </c>
      <c r="E67" s="144">
        <f t="shared" si="15"/>
        <v>12.266999999999999</v>
      </c>
      <c r="F67" s="166">
        <v>12.265000000000001</v>
      </c>
      <c r="G67" s="185" t="str">
        <f t="shared" si="16"/>
        <v>OK</v>
      </c>
      <c r="H67" s="189">
        <f t="shared" si="17"/>
        <v>1500.5</v>
      </c>
      <c r="I67" s="167">
        <v>1500.46</v>
      </c>
      <c r="J67" s="185" t="str">
        <f t="shared" si="18"/>
        <v>OK</v>
      </c>
      <c r="K67" s="146">
        <f t="shared" si="12"/>
        <v>20.98</v>
      </c>
      <c r="L67" s="167">
        <v>20.149999999999999</v>
      </c>
      <c r="M67" s="197" t="str">
        <f t="shared" si="13"/>
        <v>ALARM</v>
      </c>
      <c r="N67" s="201">
        <f t="shared" si="19"/>
        <v>0.42399999999999999</v>
      </c>
      <c r="O67" s="166">
        <v>0.42399999999999999</v>
      </c>
      <c r="P67" s="185" t="str">
        <f t="shared" si="14"/>
        <v>OK</v>
      </c>
      <c r="Q67" s="51">
        <f>(Q66+Q68)/2</f>
        <v>1325</v>
      </c>
      <c r="R67" s="8">
        <f t="shared" si="20"/>
        <v>24.285252983369322</v>
      </c>
      <c r="S67" s="55">
        <f t="shared" si="21"/>
        <v>0.37764609578083502</v>
      </c>
      <c r="T67" s="51">
        <f>(T66+T68)/2</f>
        <v>1325</v>
      </c>
      <c r="U67" s="8">
        <f t="shared" si="22"/>
        <v>26.039336746056961</v>
      </c>
      <c r="V67" s="8">
        <f t="shared" si="23"/>
        <v>0.43782897996341696</v>
      </c>
      <c r="W67" s="127">
        <f t="shared" si="24"/>
        <v>58.033651898663898</v>
      </c>
      <c r="X67" s="85">
        <f t="shared" si="25"/>
        <v>27.145156287766291</v>
      </c>
      <c r="Y67" s="113">
        <f t="shared" si="26"/>
        <v>21.36421205431725</v>
      </c>
      <c r="Z67" s="113">
        <f t="shared" si="27"/>
        <v>0.34743440811836823</v>
      </c>
      <c r="AA67" s="113">
        <f t="shared" si="28"/>
        <v>0.40785778344330187</v>
      </c>
      <c r="AB67" s="83"/>
      <c r="AC67" s="99" t="str">
        <f t="shared" si="29"/>
        <v>PASS</v>
      </c>
      <c r="AD67" s="100" t="str">
        <f t="shared" si="30"/>
        <v>FAIL</v>
      </c>
      <c r="AE67" s="101"/>
    </row>
    <row r="68" spans="1:32" x14ac:dyDescent="0.25">
      <c r="A68" s="182">
        <v>2.0489999999999999</v>
      </c>
      <c r="B68" s="167">
        <v>224.32</v>
      </c>
      <c r="C68" s="168">
        <v>2994</v>
      </c>
      <c r="D68" s="167">
        <v>41.74</v>
      </c>
      <c r="E68" s="144">
        <f t="shared" si="15"/>
        <v>13.087</v>
      </c>
      <c r="F68" s="166">
        <v>13.083</v>
      </c>
      <c r="G68" s="185" t="str">
        <f t="shared" si="16"/>
        <v>OK</v>
      </c>
      <c r="H68" s="189">
        <f t="shared" si="17"/>
        <v>1649.3999999999999</v>
      </c>
      <c r="I68" s="167">
        <v>1649.37</v>
      </c>
      <c r="J68" s="185" t="str">
        <f t="shared" si="18"/>
        <v>OK</v>
      </c>
      <c r="K68" s="146">
        <f t="shared" si="12"/>
        <v>15.11</v>
      </c>
      <c r="L68" s="167">
        <v>14.28</v>
      </c>
      <c r="M68" s="197" t="str">
        <f t="shared" si="13"/>
        <v>ALARM</v>
      </c>
      <c r="N68" s="201">
        <f t="shared" si="19"/>
        <v>0.45200000000000001</v>
      </c>
      <c r="O68" s="166">
        <v>0.45200000000000001</v>
      </c>
      <c r="P68" s="185" t="str">
        <f t="shared" si="14"/>
        <v>OK</v>
      </c>
      <c r="Q68" s="51">
        <f>(Q66+Q70)/2</f>
        <v>1450</v>
      </c>
      <c r="R68" s="8">
        <f t="shared" si="20"/>
        <v>20.694814290893756</v>
      </c>
      <c r="S68" s="55">
        <f t="shared" si="21"/>
        <v>0.37713313768671869</v>
      </c>
      <c r="T68" s="51">
        <f>(T66+T70)/2</f>
        <v>1450</v>
      </c>
      <c r="U68" s="8">
        <f t="shared" si="22"/>
        <v>22.102992013427802</v>
      </c>
      <c r="V68" s="8">
        <f t="shared" si="23"/>
        <v>0.44017944704519685</v>
      </c>
      <c r="W68" s="127">
        <f t="shared" si="24"/>
        <v>53.620136690235434</v>
      </c>
      <c r="X68" s="85">
        <f t="shared" si="25"/>
        <v>24.025021888316367</v>
      </c>
      <c r="Y68" s="113">
        <f t="shared" si="26"/>
        <v>17.303463796679726</v>
      </c>
      <c r="Z68" s="113">
        <f t="shared" si="27"/>
        <v>0.3469624866717812</v>
      </c>
      <c r="AA68" s="113">
        <f t="shared" si="28"/>
        <v>0.40730378870165623</v>
      </c>
      <c r="AB68" s="83"/>
      <c r="AC68" s="99" t="str">
        <f t="shared" si="29"/>
        <v>PASS</v>
      </c>
      <c r="AD68" s="100" t="str">
        <f t="shared" si="30"/>
        <v>FAIL</v>
      </c>
      <c r="AE68" s="101"/>
    </row>
    <row r="69" spans="1:32" x14ac:dyDescent="0.25">
      <c r="A69" s="182">
        <v>1.448</v>
      </c>
      <c r="B69" s="167">
        <v>240.52</v>
      </c>
      <c r="C69" s="168">
        <v>2993.6</v>
      </c>
      <c r="D69" s="167">
        <v>43.49</v>
      </c>
      <c r="E69" s="144">
        <f t="shared" si="15"/>
        <v>13.634</v>
      </c>
      <c r="F69" s="166">
        <v>13.63</v>
      </c>
      <c r="G69" s="185" t="str">
        <f t="shared" si="16"/>
        <v>OK</v>
      </c>
      <c r="H69" s="189">
        <f t="shared" si="17"/>
        <v>1768.8</v>
      </c>
      <c r="I69" s="167">
        <v>1768.73</v>
      </c>
      <c r="J69" s="185" t="str">
        <f t="shared" si="18"/>
        <v>OK</v>
      </c>
      <c r="K69" s="146">
        <f t="shared" si="12"/>
        <v>10.68</v>
      </c>
      <c r="L69" s="167">
        <v>9.86</v>
      </c>
      <c r="M69" s="197" t="str">
        <f t="shared" si="13"/>
        <v>ALARM</v>
      </c>
      <c r="N69" s="201">
        <f t="shared" si="19"/>
        <v>0.47099999999999997</v>
      </c>
      <c r="O69" s="166">
        <v>0.47099999999999997</v>
      </c>
      <c r="P69" s="185" t="str">
        <f t="shared" si="14"/>
        <v>OK</v>
      </c>
      <c r="Q69" s="51">
        <f>(Q68+Q70)/2</f>
        <v>1575</v>
      </c>
      <c r="R69" s="8">
        <f t="shared" si="20"/>
        <v>16.232487857695538</v>
      </c>
      <c r="S69" s="55">
        <f t="shared" si="21"/>
        <v>0.37488991208039563</v>
      </c>
      <c r="T69" s="51">
        <f>(T68+T70)/2</f>
        <v>1575</v>
      </c>
      <c r="U69" s="8">
        <f t="shared" si="22"/>
        <v>17.487292154123864</v>
      </c>
      <c r="V69" s="8">
        <f t="shared" si="23"/>
        <v>0.44496371091208387</v>
      </c>
      <c r="W69" s="127">
        <f t="shared" si="24"/>
        <v>45.584494028872562</v>
      </c>
      <c r="X69" s="85">
        <f t="shared" si="25"/>
        <v>20.103978753156863</v>
      </c>
      <c r="Y69" s="113">
        <f t="shared" si="26"/>
        <v>12.324089716691173</v>
      </c>
      <c r="Z69" s="113">
        <f t="shared" si="27"/>
        <v>0.34489871911396397</v>
      </c>
      <c r="AA69" s="113">
        <f t="shared" si="28"/>
        <v>0.40488110504682728</v>
      </c>
      <c r="AB69" s="83"/>
      <c r="AC69" s="99" t="str">
        <f t="shared" si="29"/>
        <v>PASS</v>
      </c>
      <c r="AD69" s="100" t="str">
        <f t="shared" si="30"/>
        <v>FAIL</v>
      </c>
      <c r="AE69" s="101"/>
    </row>
    <row r="70" spans="1:32" x14ac:dyDescent="0.25">
      <c r="A70" s="182">
        <v>3.3000000000000002E-2</v>
      </c>
      <c r="B70" s="167">
        <v>273.31</v>
      </c>
      <c r="C70" s="168">
        <v>2992.8</v>
      </c>
      <c r="D70" s="167">
        <v>46.29</v>
      </c>
      <c r="E70" s="144">
        <f t="shared" si="15"/>
        <v>14.507999999999999</v>
      </c>
      <c r="F70" s="166">
        <v>14.504</v>
      </c>
      <c r="G70" s="185" t="str">
        <f t="shared" si="16"/>
        <v>OK</v>
      </c>
      <c r="H70" s="190">
        <f t="shared" si="17"/>
        <v>2010.5</v>
      </c>
      <c r="I70" s="167">
        <v>2010.44</v>
      </c>
      <c r="J70" s="185" t="str">
        <f t="shared" si="18"/>
        <v>OK</v>
      </c>
      <c r="K70" s="192">
        <f t="shared" si="12"/>
        <v>0.25</v>
      </c>
      <c r="L70" s="167">
        <v>0.14000000000000001</v>
      </c>
      <c r="M70" s="197" t="str">
        <f t="shared" si="13"/>
        <v>ALARM</v>
      </c>
      <c r="N70" s="200">
        <f t="shared" si="19"/>
        <v>0.502</v>
      </c>
      <c r="O70" s="166">
        <v>0.502</v>
      </c>
      <c r="P70" s="185" t="str">
        <f t="shared" si="14"/>
        <v>OK</v>
      </c>
      <c r="Q70" s="61">
        <f>$J$3</f>
        <v>1700</v>
      </c>
      <c r="R70" s="41">
        <f t="shared" si="20"/>
        <v>10.90344260980001</v>
      </c>
      <c r="S70" s="54">
        <f t="shared" si="21"/>
        <v>0.37161918117500009</v>
      </c>
      <c r="T70" s="61">
        <f>$J$3</f>
        <v>1700</v>
      </c>
      <c r="U70" s="41">
        <f t="shared" si="22"/>
        <v>12.401794281169998</v>
      </c>
      <c r="V70" s="41">
        <f t="shared" si="23"/>
        <v>0.45430222155589961</v>
      </c>
      <c r="W70" s="94">
        <f t="shared" si="24"/>
        <v>34.176469107704904</v>
      </c>
      <c r="X70" s="84">
        <f t="shared" si="25"/>
        <v>15.350130654337521</v>
      </c>
      <c r="Y70" s="112">
        <f t="shared" si="26"/>
        <v>6.4832433655806634</v>
      </c>
      <c r="Z70" s="112">
        <f t="shared" si="27"/>
        <v>0.34188964668100008</v>
      </c>
      <c r="AA70" s="112">
        <f t="shared" si="28"/>
        <v>0.4013487156690001</v>
      </c>
      <c r="AB70" s="83"/>
      <c r="AC70" s="120" t="str">
        <f t="shared" si="29"/>
        <v>PASS</v>
      </c>
      <c r="AD70" s="121" t="str">
        <f t="shared" si="30"/>
        <v>FAIL</v>
      </c>
      <c r="AE70" s="101"/>
      <c r="AF70" s="209" t="s">
        <v>97</v>
      </c>
    </row>
    <row r="71" spans="1:32" x14ac:dyDescent="0.25">
      <c r="A71" s="182"/>
      <c r="B71" s="167"/>
      <c r="C71" s="168"/>
      <c r="D71" s="167"/>
      <c r="E71" s="7"/>
      <c r="F71" s="166"/>
      <c r="G71" s="52"/>
      <c r="H71" s="177"/>
      <c r="I71" s="167"/>
      <c r="J71" s="52"/>
      <c r="K71" s="145"/>
      <c r="L71" s="167"/>
      <c r="M71" s="186"/>
      <c r="N71" s="202"/>
      <c r="O71" s="166"/>
      <c r="P71" s="52"/>
      <c r="Q71" s="51">
        <f>(Q70+Q72)/2</f>
        <v>1800</v>
      </c>
      <c r="R71" s="8">
        <f t="shared" si="20"/>
        <v>6.0704990191999997</v>
      </c>
      <c r="S71" s="55">
        <f t="shared" si="21"/>
        <v>0.3687653623999998</v>
      </c>
      <c r="T71" s="51">
        <f>(T70+T72)/2</f>
        <v>1800</v>
      </c>
      <c r="U71" s="8">
        <f t="shared" si="22"/>
        <v>8.2122328580799859</v>
      </c>
      <c r="V71" s="8">
        <f t="shared" si="23"/>
        <v>0.4660667669216001</v>
      </c>
      <c r="W71" s="92"/>
      <c r="X71" s="118"/>
      <c r="Y71" s="115"/>
      <c r="Z71" s="115"/>
      <c r="AA71" s="110"/>
      <c r="AB71" s="83"/>
      <c r="AC71" s="104"/>
      <c r="AD71" s="107"/>
      <c r="AE71" s="98"/>
    </row>
    <row r="72" spans="1:32" ht="13.2" thickBot="1" x14ac:dyDescent="0.3">
      <c r="A72" s="183"/>
      <c r="B72" s="170"/>
      <c r="C72" s="171"/>
      <c r="D72" s="170"/>
      <c r="E72" s="58"/>
      <c r="F72" s="169"/>
      <c r="G72" s="59"/>
      <c r="H72" s="178"/>
      <c r="I72" s="170"/>
      <c r="J72" s="59"/>
      <c r="K72" s="193"/>
      <c r="L72" s="170"/>
      <c r="M72" s="180"/>
      <c r="N72" s="203"/>
      <c r="O72" s="169"/>
      <c r="P72" s="59"/>
      <c r="Q72" s="56">
        <f>$N$3</f>
        <v>1900</v>
      </c>
      <c r="R72" s="57">
        <f t="shared" si="20"/>
        <v>0.82352819660003718</v>
      </c>
      <c r="S72" s="62">
        <f t="shared" si="21"/>
        <v>0.36611774412499992</v>
      </c>
      <c r="T72" s="56">
        <f>$N$3</f>
        <v>1900</v>
      </c>
      <c r="U72" s="57">
        <f t="shared" si="22"/>
        <v>4.1616484071899862</v>
      </c>
      <c r="V72" s="57">
        <f t="shared" si="23"/>
        <v>0.48201677532129938</v>
      </c>
      <c r="W72" s="93"/>
      <c r="X72" s="119"/>
      <c r="Y72" s="116"/>
      <c r="Z72" s="116"/>
      <c r="AA72" s="111"/>
      <c r="AB72" s="86"/>
      <c r="AC72" s="105"/>
      <c r="AD72" s="108"/>
      <c r="AE72" s="102"/>
    </row>
  </sheetData>
  <mergeCells count="23">
    <mergeCell ref="O1:T1"/>
    <mergeCell ref="U1:Z1"/>
    <mergeCell ref="D6:E6"/>
    <mergeCell ref="F6:G6"/>
    <mergeCell ref="A1:N1"/>
    <mergeCell ref="A4:N4"/>
    <mergeCell ref="A5:C5"/>
    <mergeCell ref="AA2:AF2"/>
    <mergeCell ref="AA5:AD5"/>
    <mergeCell ref="D5:I5"/>
    <mergeCell ref="X49:Y49"/>
    <mergeCell ref="AC58:AE58"/>
    <mergeCell ref="X57:AB57"/>
    <mergeCell ref="A51:L51"/>
    <mergeCell ref="Q56:S56"/>
    <mergeCell ref="T56:W56"/>
    <mergeCell ref="Q57:S57"/>
    <mergeCell ref="T57:W57"/>
    <mergeCell ref="A57:G57"/>
    <mergeCell ref="D56:F56"/>
    <mergeCell ref="A56:B56"/>
    <mergeCell ref="H56:P56"/>
    <mergeCell ref="H57:P57"/>
  </mergeCells>
  <phoneticPr fontId="3" type="noConversion"/>
  <pageMargins left="0.75" right="0.75" top="1" bottom="1" header="0.5" footer="0.5"/>
  <pageSetup paperSize="3" scale="53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80"/>
  <sheetViews>
    <sheetView zoomScale="90" zoomScaleNormal="90" workbookViewId="0">
      <selection sqref="A1:N1"/>
    </sheetView>
  </sheetViews>
  <sheetFormatPr defaultRowHeight="12.6" x14ac:dyDescent="0.25"/>
  <cols>
    <col min="1" max="1" width="12.6640625" style="255" customWidth="1"/>
    <col min="2" max="2" width="14.109375" style="255" bestFit="1" customWidth="1"/>
    <col min="3" max="3" width="15.33203125" style="255" bestFit="1" customWidth="1"/>
    <col min="4" max="4" width="14.109375" style="255" bestFit="1" customWidth="1"/>
    <col min="5" max="5" width="13" style="255" bestFit="1" customWidth="1"/>
    <col min="6" max="6" width="13.33203125" style="255" bestFit="1" customWidth="1"/>
    <col min="7" max="7" width="13.88671875" style="255" bestFit="1" customWidth="1"/>
    <col min="8" max="8" width="13.5546875" style="255" bestFit="1" customWidth="1"/>
    <col min="9" max="9" width="14.109375" style="255" bestFit="1" customWidth="1"/>
    <col min="10" max="10" width="14.44140625" style="255" bestFit="1" customWidth="1"/>
    <col min="11" max="11" width="13.88671875" style="255" bestFit="1" customWidth="1"/>
    <col min="12" max="12" width="14.6640625" style="255" bestFit="1" customWidth="1"/>
    <col min="13" max="13" width="14" style="255" customWidth="1"/>
    <col min="14" max="14" width="16.21875" style="255" bestFit="1" customWidth="1"/>
    <col min="15" max="15" width="14" style="255" bestFit="1" customWidth="1"/>
    <col min="16" max="16" width="14.109375" style="255" customWidth="1"/>
    <col min="17" max="17" width="14.88671875" style="280" bestFit="1" customWidth="1"/>
    <col min="18" max="18" width="13.88671875" style="280" bestFit="1" customWidth="1"/>
    <col min="19" max="19" width="14.44140625" style="280" bestFit="1" customWidth="1"/>
    <col min="20" max="20" width="13.5546875" style="280" bestFit="1" customWidth="1"/>
    <col min="21" max="22" width="13.88671875" style="255" bestFit="1" customWidth="1"/>
    <col min="23" max="23" width="14.6640625" style="255" bestFit="1" customWidth="1"/>
    <col min="24" max="24" width="13.5546875" style="255" bestFit="1" customWidth="1"/>
    <col min="25" max="25" width="14.6640625" style="255" bestFit="1" customWidth="1"/>
    <col min="26" max="26" width="13.5546875" style="255" bestFit="1" customWidth="1"/>
    <col min="27" max="28" width="12.21875" style="255" bestFit="1" customWidth="1"/>
    <col min="29" max="30" width="12.77734375" style="255" bestFit="1" customWidth="1"/>
    <col min="31" max="31" width="13.77734375" style="255" customWidth="1"/>
    <col min="32" max="32" width="12.77734375" style="255" bestFit="1" customWidth="1"/>
    <col min="33" max="16384" width="8.88671875" style="255"/>
  </cols>
  <sheetData>
    <row r="1" spans="1:57" ht="41.25" customHeight="1" thickBot="1" x14ac:dyDescent="0.3">
      <c r="A1" s="519" t="s">
        <v>204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1"/>
      <c r="O1" s="522" t="s">
        <v>38</v>
      </c>
      <c r="P1" s="523"/>
      <c r="Q1" s="523"/>
      <c r="R1" s="523"/>
      <c r="S1" s="523"/>
      <c r="T1" s="523"/>
      <c r="U1" s="522" t="s">
        <v>39</v>
      </c>
      <c r="V1" s="523"/>
      <c r="W1" s="523"/>
      <c r="X1" s="523"/>
      <c r="Y1" s="523"/>
      <c r="Z1" s="524"/>
      <c r="AA1" s="525" t="s">
        <v>133</v>
      </c>
      <c r="AB1" s="526"/>
      <c r="AC1" s="526"/>
      <c r="AD1" s="526"/>
      <c r="AE1" s="526"/>
      <c r="AF1" s="526"/>
    </row>
    <row r="2" spans="1:57" s="265" customFormat="1" ht="50.4" x14ac:dyDescent="0.25">
      <c r="A2" s="256" t="s">
        <v>22</v>
      </c>
      <c r="B2" s="257" t="s">
        <v>26</v>
      </c>
      <c r="C2" s="258" t="s">
        <v>23</v>
      </c>
      <c r="D2" s="257" t="s">
        <v>24</v>
      </c>
      <c r="E2" s="257" t="s">
        <v>25</v>
      </c>
      <c r="F2" s="259" t="s">
        <v>27</v>
      </c>
      <c r="G2" s="257" t="s">
        <v>28</v>
      </c>
      <c r="H2" s="257" t="s">
        <v>29</v>
      </c>
      <c r="I2" s="260" t="s">
        <v>30</v>
      </c>
      <c r="J2" s="261" t="s">
        <v>31</v>
      </c>
      <c r="K2" s="257" t="s">
        <v>32</v>
      </c>
      <c r="L2" s="257" t="s">
        <v>33</v>
      </c>
      <c r="M2" s="257"/>
      <c r="N2" s="262" t="s">
        <v>34</v>
      </c>
      <c r="O2" s="263" t="s">
        <v>189</v>
      </c>
      <c r="P2" s="263" t="s">
        <v>2</v>
      </c>
      <c r="Q2" s="263" t="s">
        <v>3</v>
      </c>
      <c r="R2" s="263" t="s">
        <v>4</v>
      </c>
      <c r="S2" s="263" t="s">
        <v>5</v>
      </c>
      <c r="T2" s="263" t="s">
        <v>6</v>
      </c>
      <c r="U2" s="263" t="s">
        <v>188</v>
      </c>
      <c r="V2" s="263" t="s">
        <v>8</v>
      </c>
      <c r="W2" s="263" t="s">
        <v>9</v>
      </c>
      <c r="X2" s="263" t="s">
        <v>10</v>
      </c>
      <c r="Y2" s="263" t="s">
        <v>11</v>
      </c>
      <c r="Z2" s="264" t="s">
        <v>12</v>
      </c>
      <c r="AA2" s="274" t="s">
        <v>182</v>
      </c>
      <c r="AB2" s="275" t="s">
        <v>183</v>
      </c>
      <c r="AC2" s="275" t="s">
        <v>184</v>
      </c>
      <c r="AD2" s="275" t="s">
        <v>185</v>
      </c>
      <c r="AE2" s="275" t="s">
        <v>186</v>
      </c>
      <c r="AF2" s="276" t="s">
        <v>187</v>
      </c>
    </row>
    <row r="3" spans="1:57" s="265" customFormat="1" ht="13.2" thickBot="1" x14ac:dyDescent="0.3">
      <c r="A3" s="266">
        <f>'Pump coeff'!M4</f>
        <v>54.3</v>
      </c>
      <c r="B3" s="267">
        <f>'Pump coeff'!N4</f>
        <v>2.8245</v>
      </c>
      <c r="C3" s="268">
        <f>'Pump coeff'!O4</f>
        <v>500</v>
      </c>
      <c r="D3" s="267">
        <f>'Pump coeff'!P4</f>
        <v>52.245569806781255</v>
      </c>
      <c r="E3" s="267">
        <f>'Pump coeff'!Q4</f>
        <v>2.7212485692937505</v>
      </c>
      <c r="F3" s="268">
        <f>'Pump coeff'!R4</f>
        <v>7600</v>
      </c>
      <c r="G3" s="267">
        <f>'Pump coeff'!S4</f>
        <v>26.279702160517104</v>
      </c>
      <c r="H3" s="267">
        <f>'Pump coeff'!T4</f>
        <v>2.3771875742807049</v>
      </c>
      <c r="I3" s="269">
        <f>'Pump coeff'!U4</f>
        <v>61.881178052058523</v>
      </c>
      <c r="J3" s="268">
        <f>'Pump coeff'!V4</f>
        <v>11000</v>
      </c>
      <c r="K3" s="267">
        <f>'Pump coeff'!W4</f>
        <v>10.878983427000009</v>
      </c>
      <c r="L3" s="267">
        <f>'Pump coeff'!X4</f>
        <v>2.0764822614000007</v>
      </c>
      <c r="M3" s="270"/>
      <c r="N3" s="271">
        <f>'Pump coeff'!Z4</f>
        <v>12000</v>
      </c>
      <c r="O3" s="272">
        <f>'Pump coeff'!AA4</f>
        <v>54.3</v>
      </c>
      <c r="P3" s="272">
        <f>'Pump coeff'!AB4</f>
        <v>-4.5550820000000002E-3</v>
      </c>
      <c r="Q3" s="272">
        <f>'Pump coeff'!AC4</f>
        <v>1.031675E-6</v>
      </c>
      <c r="R3" s="272">
        <f>'Pump coeff'!AD4</f>
        <v>-2.9421260000000001E-10</v>
      </c>
      <c r="S3" s="272">
        <f>'Pump coeff'!AE4</f>
        <v>3.210864E-14</v>
      </c>
      <c r="T3" s="272">
        <f>'Pump coeff'!AF4</f>
        <v>-1.221063E-18</v>
      </c>
      <c r="U3" s="272">
        <f>'Pump coeff'!AG4</f>
        <v>2.8245</v>
      </c>
      <c r="V3" s="272">
        <f>'Pump coeff'!AH4</f>
        <v>-2.561385E-4</v>
      </c>
      <c r="W3" s="272">
        <f>'Pump coeff'!AI4</f>
        <v>1.1078640000000001E-7</v>
      </c>
      <c r="X3" s="272">
        <f>'Pump coeff'!AJ4</f>
        <v>-2.4189500000000001E-11</v>
      </c>
      <c r="Y3" s="272">
        <f>'Pump coeff'!AK4</f>
        <v>2.3610659999999999E-15</v>
      </c>
      <c r="Z3" s="273">
        <f>'Pump coeff'!AL4</f>
        <v>-8.51146E-20</v>
      </c>
      <c r="AA3" s="294"/>
      <c r="AB3" s="294"/>
      <c r="AC3" s="294"/>
      <c r="AD3" s="294"/>
      <c r="AE3" s="294"/>
      <c r="AF3" s="294"/>
    </row>
    <row r="4" spans="1:57" s="265" customFormat="1" ht="13.2" thickBot="1" x14ac:dyDescent="0.3">
      <c r="A4" s="527" t="s">
        <v>181</v>
      </c>
      <c r="B4" s="528"/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277">
        <v>55.159590000000001</v>
      </c>
      <c r="P4" s="277">
        <v>2.8504939999999999E-3</v>
      </c>
      <c r="Q4" s="277">
        <v>-4.5945139999999998E-6</v>
      </c>
      <c r="R4" s="277">
        <v>9.4705750000000007E-10</v>
      </c>
      <c r="S4" s="277">
        <v>-7.7101360000000002E-14</v>
      </c>
      <c r="T4" s="277">
        <v>2.017562E-18</v>
      </c>
      <c r="U4" s="277">
        <v>2.8273730000000001</v>
      </c>
      <c r="V4" s="277">
        <v>1.4095939999999999E-4</v>
      </c>
      <c r="W4" s="277">
        <v>-4.3633410000000003E-8</v>
      </c>
      <c r="X4" s="277">
        <v>-3.3305100000000001E-12</v>
      </c>
      <c r="Y4" s="277">
        <v>1.599288E-15</v>
      </c>
      <c r="Z4" s="278">
        <v>-9.9028209999999997E-20</v>
      </c>
      <c r="AA4" s="427">
        <v>3.72368E-2</v>
      </c>
      <c r="AB4" s="428">
        <v>1.5878030000000001E-2</v>
      </c>
      <c r="AC4" s="428">
        <v>-1.9602540000000001E-6</v>
      </c>
      <c r="AD4" s="428">
        <v>4.1427299999999998E-11</v>
      </c>
      <c r="AE4" s="428">
        <v>2.1266079999999999E-14</v>
      </c>
      <c r="AF4" s="429">
        <v>-2.1092409999999999E-18</v>
      </c>
    </row>
    <row r="5" spans="1:57" ht="13.2" thickBot="1" x14ac:dyDescent="0.3">
      <c r="A5" s="529" t="s">
        <v>76</v>
      </c>
      <c r="B5" s="530"/>
      <c r="C5" s="531"/>
      <c r="D5" s="529" t="s">
        <v>84</v>
      </c>
      <c r="E5" s="530"/>
      <c r="F5" s="532"/>
      <c r="G5" s="532"/>
      <c r="H5" s="532"/>
      <c r="I5" s="533"/>
      <c r="J5" s="279"/>
      <c r="K5" s="279"/>
      <c r="L5" s="279"/>
      <c r="M5" s="279"/>
      <c r="N5" s="279"/>
      <c r="AA5" s="534" t="s">
        <v>199</v>
      </c>
      <c r="AB5" s="535"/>
      <c r="AC5" s="535"/>
      <c r="AD5" s="536"/>
    </row>
    <row r="6" spans="1:57" ht="38.25" customHeight="1" thickBot="1" x14ac:dyDescent="0.3">
      <c r="A6" s="281"/>
      <c r="B6" s="282"/>
      <c r="C6" s="283"/>
      <c r="D6" s="505" t="s">
        <v>85</v>
      </c>
      <c r="E6" s="506"/>
      <c r="F6" s="505" t="s">
        <v>86</v>
      </c>
      <c r="G6" s="506"/>
      <c r="H6" s="284"/>
      <c r="I6" s="285"/>
      <c r="J6" s="279"/>
      <c r="K6" s="279"/>
      <c r="L6" s="279"/>
      <c r="M6" s="279"/>
      <c r="N6" s="279"/>
      <c r="AA6" s="286"/>
      <c r="AB6" s="287"/>
      <c r="AC6" s="288"/>
      <c r="AD6" s="289"/>
    </row>
    <row r="7" spans="1:57" x14ac:dyDescent="0.25">
      <c r="A7" s="274" t="s">
        <v>70</v>
      </c>
      <c r="B7" s="275" t="s">
        <v>72</v>
      </c>
      <c r="C7" s="276" t="s">
        <v>74</v>
      </c>
      <c r="D7" s="274" t="s">
        <v>78</v>
      </c>
      <c r="E7" s="275" t="s">
        <v>81</v>
      </c>
      <c r="F7" s="275" t="s">
        <v>80</v>
      </c>
      <c r="G7" s="275" t="s">
        <v>79</v>
      </c>
      <c r="H7" s="275" t="s">
        <v>82</v>
      </c>
      <c r="I7" s="276" t="s">
        <v>83</v>
      </c>
      <c r="J7" s="290"/>
      <c r="K7" s="290"/>
      <c r="L7" s="290"/>
      <c r="M7" s="290"/>
      <c r="N7" s="290"/>
      <c r="AA7" s="274" t="s">
        <v>70</v>
      </c>
      <c r="AB7" s="275" t="s">
        <v>72</v>
      </c>
      <c r="AC7" s="291" t="s">
        <v>74</v>
      </c>
      <c r="AD7" s="292" t="s">
        <v>135</v>
      </c>
    </row>
    <row r="8" spans="1:57" ht="13.2" thickBot="1" x14ac:dyDescent="0.3">
      <c r="A8" s="293" t="s">
        <v>71</v>
      </c>
      <c r="B8" s="294" t="s">
        <v>73</v>
      </c>
      <c r="C8" s="295" t="s">
        <v>75</v>
      </c>
      <c r="D8" s="293" t="s">
        <v>71</v>
      </c>
      <c r="E8" s="294" t="s">
        <v>73</v>
      </c>
      <c r="F8" s="294" t="s">
        <v>71</v>
      </c>
      <c r="G8" s="294" t="s">
        <v>73</v>
      </c>
      <c r="H8" s="294" t="s">
        <v>75</v>
      </c>
      <c r="I8" s="295" t="s">
        <v>75</v>
      </c>
      <c r="J8" s="518" t="s">
        <v>98</v>
      </c>
      <c r="K8" s="489"/>
      <c r="L8" s="489"/>
      <c r="M8" s="489"/>
      <c r="N8" s="290"/>
      <c r="AA8" s="293" t="s">
        <v>71</v>
      </c>
      <c r="AB8" s="294" t="s">
        <v>73</v>
      </c>
      <c r="AC8" s="296" t="s">
        <v>75</v>
      </c>
      <c r="AD8" s="297" t="s">
        <v>92</v>
      </c>
    </row>
    <row r="9" spans="1:57" x14ac:dyDescent="0.25">
      <c r="A9" s="298">
        <v>0</v>
      </c>
      <c r="B9" s="299">
        <f>O3</f>
        <v>54.3</v>
      </c>
      <c r="C9" s="300">
        <f>U3</f>
        <v>2.8245</v>
      </c>
      <c r="D9" s="298"/>
      <c r="E9" s="299"/>
      <c r="F9" s="301"/>
      <c r="G9" s="299"/>
      <c r="H9" s="301"/>
      <c r="I9" s="302"/>
      <c r="J9" s="303">
        <f>A11</f>
        <v>500</v>
      </c>
      <c r="K9" s="255">
        <v>0</v>
      </c>
      <c r="L9" s="255">
        <v>0</v>
      </c>
      <c r="M9" s="255">
        <v>0</v>
      </c>
      <c r="AA9" s="304">
        <f>A9</f>
        <v>0</v>
      </c>
      <c r="AB9" s="305">
        <f>O4</f>
        <v>55.159590000000001</v>
      </c>
      <c r="AC9" s="306">
        <f>U4</f>
        <v>2.8273730000000001</v>
      </c>
      <c r="AD9" s="424">
        <f>AA4</f>
        <v>3.72368E-2</v>
      </c>
    </row>
    <row r="10" spans="1:57" x14ac:dyDescent="0.25">
      <c r="A10" s="307">
        <f>(A9+A11)/2</f>
        <v>250</v>
      </c>
      <c r="B10" s="308">
        <f t="shared" ref="B10:B21" si="0">$O$3+$P$3*A10+$Q$3*A10^2+$R$3*A10^3+$S$3*A10^4+$T$3*A10^5</f>
        <v>53.22123634755566</v>
      </c>
      <c r="C10" s="309">
        <f t="shared" ref="C10:C21" si="1">$U$3+$V$3*A10+$W$3*A10^2+$X$3*A10^3+$Y$3*A10^4+$Z$3*A10^5</f>
        <v>2.767020703856836</v>
      </c>
      <c r="D10" s="307"/>
      <c r="E10" s="308"/>
      <c r="F10" s="310"/>
      <c r="G10" s="308"/>
      <c r="H10" s="310"/>
      <c r="I10" s="311"/>
      <c r="J10" s="303">
        <f>A11</f>
        <v>500</v>
      </c>
      <c r="K10" s="255">
        <v>60</v>
      </c>
      <c r="L10" s="255">
        <v>3.5</v>
      </c>
      <c r="M10" s="255">
        <v>70</v>
      </c>
      <c r="AA10" s="307">
        <f t="shared" ref="AA10:AA21" si="2">A10</f>
        <v>250</v>
      </c>
      <c r="AB10" s="308">
        <f>$O$4+$P$4*A10+$Q$4*A10^2+$R$4*A10^3+$S$4*A10^4+$T$4*A10^5</f>
        <v>55.59955494152539</v>
      </c>
      <c r="AC10" s="312">
        <f>$U$4+$V$4*AA10+$W$4*AA10^2+$X$4*AA10^3+$Y$4*AA10^4+$Z$4*AA10^5</f>
        <v>2.8598398731677634</v>
      </c>
      <c r="AD10" s="425">
        <f>$AA$4+$AB$4*AA10+$AC$4*AA10^2+$AD$4*AA10^3+$AE$4*AA10^4+$AF$4*AA10^5</f>
        <v>3.8849567373818363</v>
      </c>
    </row>
    <row r="11" spans="1:57" s="319" customFormat="1" x14ac:dyDescent="0.25">
      <c r="A11" s="313">
        <f>$C$3</f>
        <v>500</v>
      </c>
      <c r="B11" s="314">
        <f t="shared" si="0"/>
        <v>52.245569806781255</v>
      </c>
      <c r="C11" s="315">
        <f t="shared" si="1"/>
        <v>2.7212485692937505</v>
      </c>
      <c r="D11" s="316">
        <f t="shared" ref="D11:D19" si="3">0.95*A11</f>
        <v>475</v>
      </c>
      <c r="E11" s="314">
        <f t="shared" ref="E11:E19" si="4">($O$3+$P$3*D11+$Q$3*D11^2+$R$3*D11^3+$S$3*D11^4+$T$3*D11^5)*1.05</f>
        <v>54.956140493918511</v>
      </c>
      <c r="F11" s="317">
        <f t="shared" ref="F11:F19" si="5">1.05*A11</f>
        <v>525</v>
      </c>
      <c r="G11" s="314">
        <f t="shared" ref="G11:G19" si="6">($O$3+$P$3*F11+$Q$3*F11^2+$R$3*F11^3+$S$3*F11^4+$T$3*F11^5)*0.95</f>
        <v>49.545116731677162</v>
      </c>
      <c r="H11" s="314">
        <f t="shared" ref="H11:H19" si="7">C11*0.92</f>
        <v>2.5035486837502505</v>
      </c>
      <c r="I11" s="315">
        <f t="shared" ref="I11:I19" si="8">1.08*C11</f>
        <v>2.9389484548372509</v>
      </c>
      <c r="J11" s="491" t="s">
        <v>96</v>
      </c>
      <c r="K11" s="489"/>
      <c r="L11" s="489"/>
      <c r="M11" s="489"/>
      <c r="N11" s="318"/>
      <c r="Q11" s="320"/>
      <c r="R11" s="320"/>
      <c r="S11" s="320"/>
      <c r="T11" s="320"/>
      <c r="AA11" s="307">
        <f t="shared" si="2"/>
        <v>500</v>
      </c>
      <c r="AB11" s="308">
        <f t="shared" ref="AB11:AB21" si="9">$O$4+$P$4*A11+$Q$4*A11^2+$R$4*A11^3+$S$4*A11^4+$T$4*A11^5</f>
        <v>55.549834901312501</v>
      </c>
      <c r="AC11" s="312">
        <f t="shared" ref="AC11:AC21" si="10">$U$4+$V$4*AA11+$W$4*AA11^2+$X$4*AA11^3+$Y$4*AA11^4+$Z$4*AA11^5</f>
        <v>2.8866248946184374</v>
      </c>
      <c r="AD11" s="425">
        <f t="shared" ref="AD11:AD21" si="11">$AA$4+$AB$4*AA11+$AC$4*AA11^2+$AD$4*AA11^3+$AE$4*AA11^4+$AF$4*AA11^5</f>
        <v>7.4926299287187508</v>
      </c>
      <c r="AE11" s="318"/>
      <c r="AF11" s="318"/>
      <c r="AG11" s="318"/>
      <c r="AH11" s="318"/>
      <c r="AI11" s="318"/>
      <c r="AJ11" s="318"/>
      <c r="AK11" s="318"/>
      <c r="AL11" s="318"/>
      <c r="AM11" s="318"/>
      <c r="AN11" s="318"/>
      <c r="AO11" s="318"/>
      <c r="AP11" s="318"/>
      <c r="AQ11" s="318"/>
      <c r="AR11" s="318"/>
      <c r="AS11" s="318"/>
      <c r="AT11" s="318"/>
      <c r="AU11" s="318"/>
      <c r="AV11" s="318"/>
      <c r="AW11" s="318"/>
      <c r="AX11" s="318"/>
      <c r="AY11" s="318"/>
      <c r="AZ11" s="318"/>
      <c r="BA11" s="318"/>
      <c r="BB11" s="318"/>
      <c r="BC11" s="318"/>
      <c r="BD11" s="318"/>
      <c r="BE11" s="318"/>
    </row>
    <row r="12" spans="1:57" x14ac:dyDescent="0.25">
      <c r="A12" s="307">
        <f>(A11+A13)/2</f>
        <v>2275</v>
      </c>
      <c r="B12" s="308">
        <f t="shared" si="0"/>
        <v>46.598216124680064</v>
      </c>
      <c r="C12" s="309">
        <f t="shared" si="1"/>
        <v>2.5884125314547242</v>
      </c>
      <c r="D12" s="307">
        <f t="shared" si="3"/>
        <v>2161.25</v>
      </c>
      <c r="E12" s="308">
        <f t="shared" si="4"/>
        <v>49.294480775551101</v>
      </c>
      <c r="F12" s="310">
        <f t="shared" si="5"/>
        <v>2388.75</v>
      </c>
      <c r="G12" s="308">
        <f t="shared" si="6"/>
        <v>43.933824081786462</v>
      </c>
      <c r="H12" s="308">
        <f t="shared" si="7"/>
        <v>2.3813395289383466</v>
      </c>
      <c r="I12" s="309">
        <f t="shared" si="8"/>
        <v>2.7954855339711022</v>
      </c>
      <c r="J12" s="321">
        <f>A15</f>
        <v>7600</v>
      </c>
      <c r="K12" s="318">
        <v>0</v>
      </c>
      <c r="L12" s="318">
        <v>0</v>
      </c>
      <c r="M12" s="318">
        <v>0</v>
      </c>
      <c r="N12" s="318"/>
      <c r="AA12" s="307">
        <f t="shared" si="2"/>
        <v>2275</v>
      </c>
      <c r="AB12" s="308">
        <f t="shared" si="9"/>
        <v>47.073785384975046</v>
      </c>
      <c r="AC12" s="312">
        <f t="shared" si="10"/>
        <v>2.9198156570568128</v>
      </c>
      <c r="AD12" s="425">
        <f t="shared" si="11"/>
        <v>26.943121119263353</v>
      </c>
      <c r="AE12" s="318"/>
      <c r="AF12" s="318"/>
      <c r="AG12" s="318"/>
      <c r="AH12" s="318"/>
      <c r="AI12" s="318"/>
      <c r="AJ12" s="318"/>
      <c r="AK12" s="318"/>
      <c r="AL12" s="318"/>
      <c r="AM12" s="318"/>
      <c r="AN12" s="318"/>
      <c r="AO12" s="318"/>
      <c r="AP12" s="318"/>
      <c r="AQ12" s="318"/>
      <c r="AR12" s="318"/>
      <c r="AS12" s="318"/>
      <c r="AT12" s="318"/>
      <c r="AU12" s="318"/>
      <c r="AV12" s="318"/>
      <c r="AW12" s="318"/>
      <c r="AX12" s="318"/>
      <c r="AY12" s="318"/>
      <c r="AZ12" s="318"/>
      <c r="BA12" s="318"/>
      <c r="BB12" s="318"/>
      <c r="BC12" s="318"/>
      <c r="BD12" s="318"/>
      <c r="BE12" s="318"/>
    </row>
    <row r="13" spans="1:57" x14ac:dyDescent="0.25">
      <c r="A13" s="307">
        <f>(A11+A15)/2</f>
        <v>4050</v>
      </c>
      <c r="B13" s="308">
        <f t="shared" si="0"/>
        <v>40.537465397409534</v>
      </c>
      <c r="C13" s="309">
        <f t="shared" si="1"/>
        <v>2.5398848447232392</v>
      </c>
      <c r="D13" s="307">
        <f t="shared" si="3"/>
        <v>3847.5</v>
      </c>
      <c r="E13" s="308">
        <f t="shared" si="4"/>
        <v>43.360902274433364</v>
      </c>
      <c r="F13" s="310">
        <f t="shared" si="5"/>
        <v>4252.5</v>
      </c>
      <c r="G13" s="308">
        <f t="shared" si="6"/>
        <v>37.774785601973889</v>
      </c>
      <c r="H13" s="308">
        <f t="shared" si="7"/>
        <v>2.33669405714538</v>
      </c>
      <c r="I13" s="309">
        <f t="shared" si="8"/>
        <v>2.7430756323010983</v>
      </c>
      <c r="J13" s="321">
        <f>A15</f>
        <v>7600</v>
      </c>
      <c r="K13" s="318">
        <v>60</v>
      </c>
      <c r="L13" s="318">
        <v>3.5</v>
      </c>
      <c r="M13" s="318">
        <v>70</v>
      </c>
      <c r="N13" s="318"/>
      <c r="AA13" s="307">
        <f t="shared" si="2"/>
        <v>4050</v>
      </c>
      <c r="AB13" s="308">
        <f t="shared" si="9"/>
        <v>35.710594502449737</v>
      </c>
      <c r="AC13" s="312">
        <f t="shared" si="10"/>
        <v>2.7836878883631275</v>
      </c>
      <c r="AD13" s="425">
        <f t="shared" si="11"/>
        <v>38.365410167951239</v>
      </c>
      <c r="AE13" s="318"/>
      <c r="AF13" s="318"/>
      <c r="AG13" s="318"/>
      <c r="AH13" s="318"/>
      <c r="AI13" s="318"/>
      <c r="AJ13" s="318"/>
      <c r="AK13" s="318"/>
      <c r="AL13" s="318"/>
      <c r="AM13" s="318"/>
      <c r="AN13" s="318"/>
      <c r="AO13" s="318"/>
      <c r="AP13" s="318"/>
      <c r="AQ13" s="318"/>
      <c r="AR13" s="318"/>
      <c r="AS13" s="318"/>
      <c r="AT13" s="318"/>
      <c r="AU13" s="318"/>
      <c r="AV13" s="318"/>
      <c r="AW13" s="318"/>
      <c r="AX13" s="318"/>
      <c r="AY13" s="318"/>
      <c r="AZ13" s="318"/>
      <c r="BA13" s="318"/>
      <c r="BB13" s="318"/>
      <c r="BC13" s="318"/>
      <c r="BD13" s="318"/>
      <c r="BE13" s="318"/>
    </row>
    <row r="14" spans="1:57" x14ac:dyDescent="0.25">
      <c r="A14" s="307">
        <f>(A13+A15)/2</f>
        <v>5825</v>
      </c>
      <c r="B14" s="308">
        <f t="shared" si="0"/>
        <v>33.399631371634094</v>
      </c>
      <c r="C14" s="309">
        <f t="shared" si="1"/>
        <v>2.4580554235397249</v>
      </c>
      <c r="D14" s="307">
        <f t="shared" si="3"/>
        <v>5533.75</v>
      </c>
      <c r="E14" s="308">
        <f t="shared" si="4"/>
        <v>36.332462867010086</v>
      </c>
      <c r="F14" s="310">
        <f t="shared" si="5"/>
        <v>6116.25</v>
      </c>
      <c r="G14" s="308">
        <f t="shared" si="6"/>
        <v>30.589236341325019</v>
      </c>
      <c r="H14" s="308">
        <f t="shared" si="7"/>
        <v>2.2614109896565471</v>
      </c>
      <c r="I14" s="309">
        <f t="shared" si="8"/>
        <v>2.6546998574229033</v>
      </c>
      <c r="J14" s="491" t="s">
        <v>99</v>
      </c>
      <c r="K14" s="489"/>
      <c r="L14" s="489"/>
      <c r="M14" s="489"/>
      <c r="N14" s="318"/>
      <c r="AA14" s="307">
        <f t="shared" si="2"/>
        <v>5825</v>
      </c>
      <c r="AB14" s="308">
        <f t="shared" si="9"/>
        <v>27.815463777769857</v>
      </c>
      <c r="AC14" s="312">
        <f t="shared" si="10"/>
        <v>2.6868232072573641</v>
      </c>
      <c r="AD14" s="425">
        <f t="shared" si="11"/>
        <v>44.540327376631247</v>
      </c>
      <c r="AE14" s="318"/>
      <c r="AF14" s="318"/>
      <c r="AG14" s="318"/>
      <c r="AH14" s="318"/>
      <c r="AI14" s="318"/>
      <c r="AJ14" s="318"/>
      <c r="AK14" s="318"/>
      <c r="AL14" s="318"/>
      <c r="AM14" s="318"/>
      <c r="AN14" s="318"/>
      <c r="AO14" s="318"/>
      <c r="AP14" s="318"/>
      <c r="AQ14" s="318"/>
      <c r="AR14" s="318"/>
      <c r="AS14" s="318"/>
      <c r="AT14" s="318"/>
      <c r="AU14" s="318"/>
      <c r="AV14" s="318"/>
      <c r="AW14" s="318"/>
      <c r="AX14" s="318"/>
      <c r="AY14" s="318"/>
      <c r="AZ14" s="318"/>
      <c r="BA14" s="318"/>
      <c r="BB14" s="318"/>
      <c r="BC14" s="318"/>
      <c r="BD14" s="318"/>
      <c r="BE14" s="318"/>
    </row>
    <row r="15" spans="1:57" s="319" customFormat="1" x14ac:dyDescent="0.25">
      <c r="A15" s="313">
        <f>$F$3</f>
        <v>7600</v>
      </c>
      <c r="B15" s="314">
        <f t="shared" si="0"/>
        <v>26.279702160517104</v>
      </c>
      <c r="C15" s="315">
        <f t="shared" si="1"/>
        <v>2.3771875742807049</v>
      </c>
      <c r="D15" s="316">
        <f t="shared" si="3"/>
        <v>7220</v>
      </c>
      <c r="E15" s="314">
        <f t="shared" si="4"/>
        <v>29.142190385995498</v>
      </c>
      <c r="F15" s="317">
        <f t="shared" si="5"/>
        <v>7980</v>
      </c>
      <c r="G15" s="314">
        <f t="shared" si="6"/>
        <v>23.589097694949103</v>
      </c>
      <c r="H15" s="314">
        <f t="shared" si="7"/>
        <v>2.1870125683382486</v>
      </c>
      <c r="I15" s="315">
        <f t="shared" si="8"/>
        <v>2.5673625802231617</v>
      </c>
      <c r="J15" s="321">
        <f>A19</f>
        <v>11000</v>
      </c>
      <c r="K15" s="318">
        <v>0</v>
      </c>
      <c r="L15" s="318">
        <v>0</v>
      </c>
      <c r="M15" s="318">
        <v>0</v>
      </c>
      <c r="N15" s="318"/>
      <c r="Q15" s="320"/>
      <c r="R15" s="320"/>
      <c r="S15" s="320"/>
      <c r="T15" s="320"/>
      <c r="AA15" s="307">
        <f t="shared" si="2"/>
        <v>7600</v>
      </c>
      <c r="AB15" s="308">
        <f t="shared" si="9"/>
        <v>21.108611150597142</v>
      </c>
      <c r="AC15" s="312">
        <f t="shared" si="10"/>
        <v>2.7410720997602307</v>
      </c>
      <c r="AD15" s="425">
        <f t="shared" si="11"/>
        <v>43.13951378781185</v>
      </c>
      <c r="AE15" s="318"/>
      <c r="AF15" s="318"/>
      <c r="AG15" s="318"/>
      <c r="AH15" s="318"/>
      <c r="AI15" s="318"/>
      <c r="AJ15" s="318"/>
      <c r="AK15" s="318"/>
      <c r="AL15" s="318"/>
      <c r="AM15" s="318"/>
      <c r="AN15" s="318"/>
      <c r="AO15" s="318"/>
      <c r="AP15" s="318"/>
      <c r="AQ15" s="318"/>
      <c r="AR15" s="318"/>
      <c r="AS15" s="318"/>
      <c r="AT15" s="318"/>
      <c r="AU15" s="318"/>
      <c r="AV15" s="318"/>
      <c r="AW15" s="318"/>
      <c r="AX15" s="318"/>
      <c r="AY15" s="318"/>
      <c r="AZ15" s="318"/>
      <c r="BA15" s="318"/>
      <c r="BB15" s="318"/>
      <c r="BC15" s="318"/>
      <c r="BD15" s="318"/>
      <c r="BE15" s="318"/>
    </row>
    <row r="16" spans="1:57" x14ac:dyDescent="0.25">
      <c r="A16" s="307">
        <f>(A15+A17)/2</f>
        <v>8450</v>
      </c>
      <c r="B16" s="308">
        <f t="shared" si="0"/>
        <v>23.055908562691634</v>
      </c>
      <c r="C16" s="309">
        <f t="shared" si="1"/>
        <v>2.3464532565127567</v>
      </c>
      <c r="D16" s="307">
        <f t="shared" si="3"/>
        <v>8027.5</v>
      </c>
      <c r="E16" s="308">
        <f t="shared" si="4"/>
        <v>25.883351678633328</v>
      </c>
      <c r="F16" s="310">
        <f t="shared" si="5"/>
        <v>8872.5</v>
      </c>
      <c r="G16" s="308">
        <f t="shared" si="6"/>
        <v>20.373858005058374</v>
      </c>
      <c r="H16" s="308">
        <f t="shared" si="7"/>
        <v>2.1587369959917364</v>
      </c>
      <c r="I16" s="309">
        <f t="shared" si="8"/>
        <v>2.5341695170337775</v>
      </c>
      <c r="J16" s="321">
        <f>A19</f>
        <v>11000</v>
      </c>
      <c r="K16" s="318">
        <v>60</v>
      </c>
      <c r="L16" s="318">
        <v>3.5</v>
      </c>
      <c r="M16" s="318">
        <v>70</v>
      </c>
      <c r="N16" s="318"/>
      <c r="AA16" s="307">
        <f t="shared" si="2"/>
        <v>8450</v>
      </c>
      <c r="AB16" s="308">
        <f t="shared" si="9"/>
        <v>16.425653627887826</v>
      </c>
      <c r="AC16" s="312">
        <f t="shared" si="10"/>
        <v>2.7809432250971549</v>
      </c>
      <c r="AD16" s="425">
        <f t="shared" si="11"/>
        <v>36.788234694086555</v>
      </c>
      <c r="AE16" s="318"/>
      <c r="AF16" s="318"/>
      <c r="AG16" s="318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8"/>
      <c r="AX16" s="318"/>
      <c r="AY16" s="318"/>
      <c r="AZ16" s="318"/>
      <c r="BA16" s="318"/>
      <c r="BB16" s="318"/>
      <c r="BC16" s="318"/>
      <c r="BD16" s="318"/>
      <c r="BE16" s="318"/>
    </row>
    <row r="17" spans="1:57" x14ac:dyDescent="0.25">
      <c r="A17" s="307">
        <f>(A15+A19)/2</f>
        <v>9300</v>
      </c>
      <c r="B17" s="308">
        <f t="shared" si="0"/>
        <v>19.756738027207419</v>
      </c>
      <c r="C17" s="309">
        <f t="shared" si="1"/>
        <v>2.308011977164421</v>
      </c>
      <c r="D17" s="307">
        <f t="shared" si="3"/>
        <v>8835</v>
      </c>
      <c r="E17" s="308">
        <f t="shared" si="4"/>
        <v>22.670211021019703</v>
      </c>
      <c r="F17" s="310">
        <f t="shared" si="5"/>
        <v>9765</v>
      </c>
      <c r="G17" s="308">
        <f t="shared" si="6"/>
        <v>16.886386393688504</v>
      </c>
      <c r="H17" s="308">
        <f t="shared" si="7"/>
        <v>2.1233710189912673</v>
      </c>
      <c r="I17" s="309">
        <f t="shared" si="8"/>
        <v>2.4926529353375746</v>
      </c>
      <c r="J17" s="318"/>
      <c r="K17" s="318"/>
      <c r="L17" s="318"/>
      <c r="M17" s="318"/>
      <c r="N17" s="318"/>
      <c r="AA17" s="307">
        <f t="shared" si="2"/>
        <v>9300</v>
      </c>
      <c r="AB17" s="308">
        <f t="shared" si="9"/>
        <v>9.663166424328665</v>
      </c>
      <c r="AC17" s="312">
        <f t="shared" si="10"/>
        <v>2.7597513937590046</v>
      </c>
      <c r="AD17" s="425">
        <f t="shared" si="11"/>
        <v>23.826781799237864</v>
      </c>
      <c r="AE17" s="318"/>
      <c r="AF17" s="318"/>
      <c r="AG17" s="318"/>
      <c r="AH17" s="318"/>
      <c r="AI17" s="318"/>
      <c r="AJ17" s="318"/>
      <c r="AK17" s="318"/>
      <c r="AL17" s="318"/>
      <c r="AM17" s="318"/>
      <c r="AN17" s="318"/>
      <c r="AO17" s="318"/>
      <c r="AP17" s="318"/>
      <c r="AQ17" s="318"/>
      <c r="AR17" s="318"/>
      <c r="AS17" s="318"/>
      <c r="AT17" s="318"/>
      <c r="AU17" s="318"/>
      <c r="AV17" s="318"/>
      <c r="AW17" s="318"/>
      <c r="AX17" s="318"/>
      <c r="AY17" s="318"/>
      <c r="AZ17" s="318"/>
      <c r="BA17" s="318"/>
      <c r="BB17" s="318"/>
      <c r="BC17" s="318"/>
      <c r="BD17" s="318"/>
      <c r="BE17" s="318"/>
    </row>
    <row r="18" spans="1:57" x14ac:dyDescent="0.25">
      <c r="A18" s="307">
        <f>(A17+A19)/2</f>
        <v>10150</v>
      </c>
      <c r="B18" s="308">
        <f t="shared" si="0"/>
        <v>15.946139712867335</v>
      </c>
      <c r="C18" s="309">
        <f t="shared" si="1"/>
        <v>2.2339832894354554</v>
      </c>
      <c r="D18" s="307">
        <f t="shared" si="3"/>
        <v>9642.5</v>
      </c>
      <c r="E18" s="308">
        <f t="shared" si="4"/>
        <v>19.232937014906632</v>
      </c>
      <c r="F18" s="310">
        <f t="shared" si="5"/>
        <v>10657.5</v>
      </c>
      <c r="G18" s="308">
        <f t="shared" si="6"/>
        <v>12.477690658235751</v>
      </c>
      <c r="H18" s="308">
        <f t="shared" si="7"/>
        <v>2.0552646262806191</v>
      </c>
      <c r="I18" s="309">
        <f t="shared" si="8"/>
        <v>2.4127019525902922</v>
      </c>
      <c r="J18" s="318"/>
      <c r="K18" s="318"/>
      <c r="L18" s="318"/>
      <c r="M18" s="318"/>
      <c r="N18" s="318"/>
      <c r="AA18" s="307">
        <f t="shared" si="2"/>
        <v>10150</v>
      </c>
      <c r="AB18" s="308">
        <f t="shared" si="9"/>
        <v>9.4328034895823976E-2</v>
      </c>
      <c r="AC18" s="312">
        <f t="shared" si="10"/>
        <v>2.5863548884430276</v>
      </c>
      <c r="AD18" s="425">
        <f t="shared" si="11"/>
        <v>1.0538681326821688</v>
      </c>
      <c r="AE18" s="318"/>
      <c r="AF18" s="318"/>
      <c r="AG18" s="318"/>
      <c r="AH18" s="318"/>
      <c r="AI18" s="318"/>
      <c r="AJ18" s="318"/>
      <c r="AK18" s="318"/>
      <c r="AL18" s="318"/>
      <c r="AM18" s="318"/>
      <c r="AN18" s="318"/>
      <c r="AO18" s="318"/>
      <c r="AP18" s="318"/>
      <c r="AQ18" s="318"/>
      <c r="AR18" s="318"/>
      <c r="AS18" s="318"/>
      <c r="AT18" s="318"/>
      <c r="AU18" s="318"/>
      <c r="AV18" s="318"/>
      <c r="AW18" s="318"/>
      <c r="AX18" s="318"/>
      <c r="AY18" s="318"/>
      <c r="AZ18" s="318"/>
      <c r="BA18" s="318"/>
      <c r="BB18" s="318"/>
      <c r="BC18" s="318"/>
      <c r="BD18" s="318"/>
      <c r="BE18" s="318"/>
    </row>
    <row r="19" spans="1:57" s="319" customFormat="1" x14ac:dyDescent="0.25">
      <c r="A19" s="313">
        <f>$J$3</f>
        <v>11000</v>
      </c>
      <c r="B19" s="314">
        <f t="shared" si="0"/>
        <v>10.878983427000009</v>
      </c>
      <c r="C19" s="315">
        <f t="shared" si="1"/>
        <v>2.0764822614000007</v>
      </c>
      <c r="D19" s="316">
        <f t="shared" si="3"/>
        <v>10450</v>
      </c>
      <c r="E19" s="314">
        <f t="shared" si="4"/>
        <v>15.06778191805973</v>
      </c>
      <c r="F19" s="317">
        <f t="shared" si="5"/>
        <v>11550</v>
      </c>
      <c r="G19" s="314">
        <f t="shared" si="6"/>
        <v>6.100804721708883</v>
      </c>
      <c r="H19" s="314">
        <f t="shared" si="7"/>
        <v>1.9103636804880006</v>
      </c>
      <c r="I19" s="315">
        <f t="shared" si="8"/>
        <v>2.242600842312001</v>
      </c>
      <c r="J19" s="318"/>
      <c r="K19" s="318"/>
      <c r="L19" s="318"/>
      <c r="M19" s="318"/>
      <c r="N19" s="318"/>
      <c r="Q19" s="320"/>
      <c r="R19" s="320"/>
      <c r="S19" s="320"/>
      <c r="T19" s="320"/>
      <c r="AA19" s="307">
        <f t="shared" si="2"/>
        <v>11000</v>
      </c>
      <c r="AB19" s="308">
        <f t="shared" si="9"/>
        <v>-12.798271598000099</v>
      </c>
      <c r="AC19" s="312">
        <f t="shared" si="10"/>
        <v>2.1319583392899979</v>
      </c>
      <c r="AD19" s="425">
        <f t="shared" si="11"/>
        <v>-35.694125911000071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8"/>
      <c r="AV19" s="318"/>
      <c r="AW19" s="318"/>
      <c r="AX19" s="318"/>
      <c r="AY19" s="318"/>
      <c r="AZ19" s="318"/>
      <c r="BA19" s="318"/>
      <c r="BB19" s="318"/>
      <c r="BC19" s="318"/>
      <c r="BD19" s="318"/>
      <c r="BE19" s="318"/>
    </row>
    <row r="20" spans="1:57" x14ac:dyDescent="0.25">
      <c r="A20" s="307">
        <f>(A19+A21)/2</f>
        <v>11500</v>
      </c>
      <c r="B20" s="308">
        <f t="shared" si="0"/>
        <v>6.8777239709687876</v>
      </c>
      <c r="C20" s="309">
        <f t="shared" si="1"/>
        <v>1.9168084970062509</v>
      </c>
      <c r="D20" s="307"/>
      <c r="E20" s="308"/>
      <c r="F20" s="310"/>
      <c r="G20" s="308"/>
      <c r="H20" s="310"/>
      <c r="I20" s="311"/>
      <c r="AA20" s="307">
        <f t="shared" si="2"/>
        <v>11500</v>
      </c>
      <c r="AB20" s="308">
        <f t="shared" si="9"/>
        <v>-22.031952429812463</v>
      </c>
      <c r="AC20" s="312">
        <f t="shared" si="10"/>
        <v>1.6661351118740626</v>
      </c>
      <c r="AD20" s="425">
        <f t="shared" si="11"/>
        <v>-65.901901034468779</v>
      </c>
    </row>
    <row r="21" spans="1:57" ht="13.2" thickBot="1" x14ac:dyDescent="0.3">
      <c r="A21" s="322">
        <f>$N$3</f>
        <v>12000</v>
      </c>
      <c r="B21" s="323">
        <f t="shared" si="0"/>
        <v>1.7660538239999255</v>
      </c>
      <c r="C21" s="324">
        <f t="shared" si="1"/>
        <v>1.6844520287999956</v>
      </c>
      <c r="D21" s="322"/>
      <c r="E21" s="323"/>
      <c r="F21" s="325"/>
      <c r="G21" s="323"/>
      <c r="H21" s="325"/>
      <c r="I21" s="326"/>
      <c r="AA21" s="322">
        <f t="shared" si="2"/>
        <v>12000</v>
      </c>
      <c r="AB21" s="323">
        <f t="shared" si="9"/>
        <v>-32.46895137599995</v>
      </c>
      <c r="AC21" s="327">
        <f t="shared" si="10"/>
        <v>1.002001897279996</v>
      </c>
      <c r="AD21" s="426">
        <f t="shared" si="11"/>
        <v>-103.98982643200003</v>
      </c>
    </row>
    <row r="49" spans="1:32" ht="13.2" x14ac:dyDescent="0.25">
      <c r="X49" s="507"/>
      <c r="Y49" s="507"/>
    </row>
    <row r="50" spans="1:32" ht="13.2" thickBot="1" x14ac:dyDescent="0.3">
      <c r="X50" s="328"/>
      <c r="Y50" s="329"/>
    </row>
    <row r="51" spans="1:32" ht="13.2" thickBot="1" x14ac:dyDescent="0.3">
      <c r="A51" s="508" t="s">
        <v>164</v>
      </c>
      <c r="B51" s="509"/>
      <c r="C51" s="509"/>
      <c r="D51" s="509"/>
      <c r="E51" s="509"/>
      <c r="F51" s="509"/>
      <c r="G51" s="509"/>
      <c r="H51" s="509"/>
      <c r="I51" s="509"/>
      <c r="J51" s="509"/>
      <c r="K51" s="509"/>
      <c r="L51" s="510"/>
      <c r="M51" s="279"/>
      <c r="X51" s="328"/>
      <c r="Y51" s="329"/>
    </row>
    <row r="52" spans="1:32" x14ac:dyDescent="0.25">
      <c r="A52" s="330" t="s">
        <v>2</v>
      </c>
      <c r="B52" s="331" t="s">
        <v>3</v>
      </c>
      <c r="C52" s="331" t="s">
        <v>4</v>
      </c>
      <c r="D52" s="331" t="s">
        <v>5</v>
      </c>
      <c r="E52" s="331" t="s">
        <v>6</v>
      </c>
      <c r="F52" s="423" t="s">
        <v>7</v>
      </c>
      <c r="G52" s="330" t="s">
        <v>8</v>
      </c>
      <c r="H52" s="331" t="s">
        <v>9</v>
      </c>
      <c r="I52" s="331" t="s">
        <v>10</v>
      </c>
      <c r="J52" s="331" t="s">
        <v>11</v>
      </c>
      <c r="K52" s="331" t="s">
        <v>12</v>
      </c>
      <c r="L52" s="332" t="s">
        <v>13</v>
      </c>
      <c r="M52" s="333"/>
      <c r="X52" s="328"/>
      <c r="Y52" s="329"/>
    </row>
    <row r="53" spans="1:32" ht="15" customHeight="1" x14ac:dyDescent="0.25">
      <c r="A53" s="3">
        <v>28.496189999999999</v>
      </c>
      <c r="B53" s="3">
        <v>3.9061429999999999E-3</v>
      </c>
      <c r="C53" s="3">
        <v>-1.6927030000000001E-5</v>
      </c>
      <c r="D53" s="3">
        <v>9.5572170000000005E-9</v>
      </c>
      <c r="E53" s="3">
        <v>-2.179413E-12</v>
      </c>
      <c r="F53" s="3">
        <v>1.7357120000000001E-16</v>
      </c>
      <c r="G53" s="3">
        <v>1.0355319999999999</v>
      </c>
      <c r="H53" s="3">
        <v>-3.0581489999999999E-4</v>
      </c>
      <c r="I53" s="3">
        <v>3.3128649999999999E-8</v>
      </c>
      <c r="J53" s="3">
        <v>1.368993E-11</v>
      </c>
      <c r="K53" s="3">
        <v>-2.6339159999999999E-15</v>
      </c>
      <c r="L53" s="3">
        <v>0</v>
      </c>
      <c r="M53" s="334"/>
      <c r="X53" s="328"/>
      <c r="Y53" s="329"/>
    </row>
    <row r="54" spans="1:32" x14ac:dyDescent="0.25">
      <c r="X54" s="335"/>
      <c r="Y54" s="329"/>
    </row>
    <row r="55" spans="1:32" ht="13.2" thickBot="1" x14ac:dyDescent="0.3"/>
    <row r="56" spans="1:32" ht="13.2" thickBot="1" x14ac:dyDescent="0.3">
      <c r="A56" s="511" t="s">
        <v>150</v>
      </c>
      <c r="B56" s="512"/>
      <c r="C56" s="336">
        <v>1</v>
      </c>
      <c r="D56" s="513" t="s">
        <v>149</v>
      </c>
      <c r="E56" s="514"/>
      <c r="F56" s="514"/>
      <c r="G56" s="336">
        <v>21</v>
      </c>
      <c r="H56" s="495" t="s">
        <v>198</v>
      </c>
      <c r="I56" s="500"/>
      <c r="J56" s="500"/>
      <c r="K56" s="497"/>
      <c r="L56" s="497"/>
      <c r="M56" s="497"/>
      <c r="N56" s="497"/>
      <c r="O56" s="497"/>
      <c r="P56" s="498"/>
      <c r="Q56" s="515" t="s">
        <v>76</v>
      </c>
      <c r="R56" s="516"/>
      <c r="S56" s="517"/>
      <c r="T56" s="495" t="s">
        <v>197</v>
      </c>
      <c r="U56" s="500"/>
      <c r="V56" s="500"/>
      <c r="W56" s="499"/>
      <c r="AA56" s="280"/>
      <c r="AB56" s="280"/>
      <c r="AC56" s="280"/>
      <c r="AD56" s="280"/>
    </row>
    <row r="57" spans="1:32" ht="13.2" thickBot="1" x14ac:dyDescent="0.3">
      <c r="A57" s="492" t="s">
        <v>148</v>
      </c>
      <c r="B57" s="493"/>
      <c r="C57" s="493"/>
      <c r="D57" s="493"/>
      <c r="E57" s="493"/>
      <c r="F57" s="493"/>
      <c r="G57" s="494"/>
      <c r="H57" s="495" t="s">
        <v>87</v>
      </c>
      <c r="I57" s="496"/>
      <c r="J57" s="496"/>
      <c r="K57" s="497"/>
      <c r="L57" s="497"/>
      <c r="M57" s="497"/>
      <c r="N57" s="497"/>
      <c r="O57" s="497"/>
      <c r="P57" s="498"/>
      <c r="Q57" s="495" t="s">
        <v>87</v>
      </c>
      <c r="R57" s="496"/>
      <c r="S57" s="499"/>
      <c r="T57" s="495" t="s">
        <v>87</v>
      </c>
      <c r="U57" s="496"/>
      <c r="V57" s="496"/>
      <c r="W57" s="499"/>
      <c r="X57" s="495" t="s">
        <v>77</v>
      </c>
      <c r="Y57" s="500"/>
      <c r="Z57" s="500"/>
      <c r="AA57" s="500"/>
      <c r="AB57" s="501"/>
      <c r="AC57" s="280"/>
      <c r="AD57" s="280"/>
    </row>
    <row r="58" spans="1:32" x14ac:dyDescent="0.25">
      <c r="A58" s="298" t="s">
        <v>139</v>
      </c>
      <c r="B58" s="275" t="s">
        <v>70</v>
      </c>
      <c r="C58" s="275" t="s">
        <v>142</v>
      </c>
      <c r="D58" s="275" t="s">
        <v>144</v>
      </c>
      <c r="E58" s="337" t="s">
        <v>151</v>
      </c>
      <c r="F58" s="337" t="s">
        <v>146</v>
      </c>
      <c r="G58" s="292" t="s">
        <v>147</v>
      </c>
      <c r="H58" s="274" t="s">
        <v>153</v>
      </c>
      <c r="I58" s="337" t="s">
        <v>154</v>
      </c>
      <c r="J58" s="292" t="s">
        <v>155</v>
      </c>
      <c r="K58" s="274" t="s">
        <v>156</v>
      </c>
      <c r="L58" s="337" t="s">
        <v>157</v>
      </c>
      <c r="M58" s="338" t="s">
        <v>158</v>
      </c>
      <c r="N58" s="274" t="s">
        <v>160</v>
      </c>
      <c r="O58" s="337" t="s">
        <v>161</v>
      </c>
      <c r="P58" s="292" t="s">
        <v>162</v>
      </c>
      <c r="Q58" s="274" t="s">
        <v>70</v>
      </c>
      <c r="R58" s="275" t="s">
        <v>72</v>
      </c>
      <c r="S58" s="276" t="s">
        <v>74</v>
      </c>
      <c r="T58" s="274" t="s">
        <v>70</v>
      </c>
      <c r="U58" s="275" t="s">
        <v>72</v>
      </c>
      <c r="V58" s="275" t="s">
        <v>74</v>
      </c>
      <c r="W58" s="276" t="s">
        <v>93</v>
      </c>
      <c r="X58" s="339" t="s">
        <v>81</v>
      </c>
      <c r="Y58" s="340" t="s">
        <v>79</v>
      </c>
      <c r="Z58" s="340" t="s">
        <v>82</v>
      </c>
      <c r="AA58" s="341" t="s">
        <v>83</v>
      </c>
      <c r="AB58" s="342" t="s">
        <v>91</v>
      </c>
      <c r="AC58" s="502" t="s">
        <v>94</v>
      </c>
      <c r="AD58" s="503"/>
      <c r="AE58" s="504"/>
    </row>
    <row r="59" spans="1:32" ht="13.2" thickBot="1" x14ac:dyDescent="0.3">
      <c r="A59" s="293" t="s">
        <v>141</v>
      </c>
      <c r="B59" s="294" t="s">
        <v>140</v>
      </c>
      <c r="C59" s="294" t="s">
        <v>143</v>
      </c>
      <c r="D59" s="294" t="s">
        <v>145</v>
      </c>
      <c r="E59" s="343" t="s">
        <v>89</v>
      </c>
      <c r="F59" s="343" t="s">
        <v>89</v>
      </c>
      <c r="G59" s="326" t="s">
        <v>152</v>
      </c>
      <c r="H59" s="293" t="s">
        <v>71</v>
      </c>
      <c r="I59" s="343" t="s">
        <v>71</v>
      </c>
      <c r="J59" s="326" t="s">
        <v>163</v>
      </c>
      <c r="K59" s="293" t="s">
        <v>73</v>
      </c>
      <c r="L59" s="343" t="s">
        <v>73</v>
      </c>
      <c r="M59" s="344" t="s">
        <v>163</v>
      </c>
      <c r="N59" s="293" t="s">
        <v>159</v>
      </c>
      <c r="O59" s="343" t="s">
        <v>159</v>
      </c>
      <c r="P59" s="326" t="s">
        <v>163</v>
      </c>
      <c r="Q59" s="293" t="s">
        <v>71</v>
      </c>
      <c r="R59" s="294" t="s">
        <v>73</v>
      </c>
      <c r="S59" s="295" t="s">
        <v>75</v>
      </c>
      <c r="T59" s="293" t="s">
        <v>71</v>
      </c>
      <c r="U59" s="294" t="s">
        <v>73</v>
      </c>
      <c r="V59" s="294" t="s">
        <v>75</v>
      </c>
      <c r="W59" s="295" t="s">
        <v>92</v>
      </c>
      <c r="X59" s="345" t="s">
        <v>73</v>
      </c>
      <c r="Y59" s="294" t="s">
        <v>73</v>
      </c>
      <c r="Z59" s="294" t="s">
        <v>75</v>
      </c>
      <c r="AA59" s="296" t="s">
        <v>75</v>
      </c>
      <c r="AB59" s="346" t="s">
        <v>92</v>
      </c>
      <c r="AC59" s="293" t="s">
        <v>72</v>
      </c>
      <c r="AD59" s="294" t="s">
        <v>74</v>
      </c>
      <c r="AE59" s="295" t="s">
        <v>93</v>
      </c>
    </row>
    <row r="60" spans="1:32" x14ac:dyDescent="0.25">
      <c r="A60" s="347">
        <v>1.4330000000000001</v>
      </c>
      <c r="B60" s="348">
        <v>2.59</v>
      </c>
      <c r="C60" s="349">
        <v>2995.1</v>
      </c>
      <c r="D60" s="348">
        <v>32.229999999999997</v>
      </c>
      <c r="E60" s="350">
        <f>ROUND(C60*D60/9549,3)</f>
        <v>10.109</v>
      </c>
      <c r="F60" s="351">
        <v>10.105</v>
      </c>
      <c r="G60" s="352" t="str">
        <f>IF(OR(E60-F60&gt;0.001*F60,E60-F60&lt;(-0.001)*F60),"ALARM","OK")</f>
        <v>OK</v>
      </c>
      <c r="H60" s="353">
        <f>ROUNDUP((B60*6.28981)*(3500/C60),1)</f>
        <v>19.100000000000001</v>
      </c>
      <c r="I60" s="354">
        <v>19.05</v>
      </c>
      <c r="J60" s="355" t="str">
        <f>IF(OR(H60-I60&gt;0.005*I60,H60-I60&lt;(-0.005)*I60),"ALARM","OK")</f>
        <v>OK</v>
      </c>
      <c r="K60" s="356">
        <f>ROUNDUP(((A60-0.13)*(1000/9.81)*$C$56*3.28/$G$56)*(3500/C60)^2,2)</f>
        <v>28.330000000000002</v>
      </c>
      <c r="L60" s="348">
        <f>L73/$G$56</f>
        <v>28.564285714285717</v>
      </c>
      <c r="M60" s="357" t="str">
        <f t="shared" ref="M60:M70" si="12">IF(OR(K60-L60&gt;0.005*L60,K60-L60&lt;(-0.005)*L60),"ALARM","OK")</f>
        <v>ALARM</v>
      </c>
      <c r="N60" s="358">
        <f>ROUNDUP((F60/(0.746*$G$56))*(3500/C60)^3,3)</f>
        <v>1.0299999999999998</v>
      </c>
      <c r="O60" s="348">
        <f>O73/$G$56</f>
        <v>1.0297619047619047</v>
      </c>
      <c r="P60" s="352" t="str">
        <f t="shared" ref="P60:P70" si="13">IF(OR(N60-O60&gt;0.005*O60,N60-O60&lt;(-0.005)*O60),"ALARM","OK")</f>
        <v>OK</v>
      </c>
      <c r="Q60" s="298">
        <v>0</v>
      </c>
      <c r="R60" s="299">
        <f>B9</f>
        <v>54.3</v>
      </c>
      <c r="S60" s="300">
        <f>C9</f>
        <v>2.8245</v>
      </c>
      <c r="T60" s="298">
        <v>0</v>
      </c>
      <c r="U60" s="299">
        <f>A53</f>
        <v>28.496189999999999</v>
      </c>
      <c r="V60" s="299">
        <f>G53</f>
        <v>1.0355319999999999</v>
      </c>
      <c r="W60" s="359"/>
      <c r="X60" s="360"/>
      <c r="Y60" s="361"/>
      <c r="Z60" s="361"/>
      <c r="AA60" s="362"/>
      <c r="AB60" s="363"/>
      <c r="AC60" s="364"/>
      <c r="AD60" s="365"/>
      <c r="AE60" s="366"/>
    </row>
    <row r="61" spans="1:32" x14ac:dyDescent="0.25">
      <c r="A61" s="367">
        <v>0.89500000000000002</v>
      </c>
      <c r="B61" s="368">
        <v>241.38</v>
      </c>
      <c r="C61" s="369">
        <v>2997.3</v>
      </c>
      <c r="D61" s="368">
        <v>20.23</v>
      </c>
      <c r="E61" s="370">
        <f t="shared" ref="E61:E70" si="14">ROUND(C61*D61/9549,3)</f>
        <v>6.35</v>
      </c>
      <c r="F61" s="371">
        <v>6.3490000000000002</v>
      </c>
      <c r="G61" s="372" t="str">
        <f t="shared" ref="G61:G70" si="15">IF(OR(E61-F61&gt;0.001*F61,E61-F61&lt;(-0.001)*F61),"ALARM","OK")</f>
        <v>OK</v>
      </c>
      <c r="H61" s="373">
        <f t="shared" ref="H61:H70" si="16">ROUNDUP((B61*6.28981)*(3500/C61),1)</f>
        <v>1772.8999999999999</v>
      </c>
      <c r="I61" s="368">
        <v>1772.89</v>
      </c>
      <c r="J61" s="372" t="str">
        <f t="shared" ref="J61:J70" si="17">IF(OR(H61-I61&gt;0.005*I61,H61-I61&lt;(-0.005)*I61),"ALARM","OK")</f>
        <v>OK</v>
      </c>
      <c r="K61" s="356">
        <f t="shared" ref="K61:K70" si="18">ROUNDUP(((A61-0.13)*(1000/9.81)*$C$56*3.28/$G$56)*(3500/C61)^2,2)</f>
        <v>16.610000000000003</v>
      </c>
      <c r="L61" s="348">
        <f t="shared" ref="L61:L67" si="19">L74/$G$56</f>
        <v>17.007142857142856</v>
      </c>
      <c r="M61" s="374" t="str">
        <f t="shared" si="12"/>
        <v>ALARM</v>
      </c>
      <c r="N61" s="375">
        <f t="shared" ref="N61:N70" si="20">ROUNDUP((F61/(0.746*$G$56))*(3500/C61)^3,3)</f>
        <v>0.64600000000000002</v>
      </c>
      <c r="O61" s="348">
        <f t="shared" ref="O61:O67" si="21">O74/$G$56</f>
        <v>0.6455238095238095</v>
      </c>
      <c r="P61" s="372" t="str">
        <f t="shared" si="13"/>
        <v>OK</v>
      </c>
      <c r="Q61" s="307">
        <f>(Q60+Q62)/2</f>
        <v>250</v>
      </c>
      <c r="R61" s="308">
        <f t="shared" ref="R61:R72" si="22">$O$3+$P$3*Q61+$Q$3*Q61^2+$R$3*Q61^3+$S$3*Q61^4+$T$3*Q61^5</f>
        <v>53.22123634755566</v>
      </c>
      <c r="S61" s="309">
        <f t="shared" ref="S61:S72" si="23">$U$3+$V$3*Q61+$W$3*Q61^2+$X$3*Q61^3+$Y$3*Q61^4+$Z$3*Q61^5</f>
        <v>2.767020703856836</v>
      </c>
      <c r="T61" s="307">
        <f>(T60+T62)/2</f>
        <v>250</v>
      </c>
      <c r="U61" s="308">
        <f t="shared" ref="U61:U72" si="24">$A$53+$B$53*T61+$C$53*T61^2+$D$53*T61^3+$E$53*T61^4+$F$53*T61^5</f>
        <v>28.555774061718751</v>
      </c>
      <c r="V61" s="308">
        <f t="shared" ref="V61:V72" si="25">$G$53+$H$53*T61+$I$53*T61^2+$J$53*T61^3+$K$53*T61^4+$L$53*T61^5</f>
        <v>0.96135243204687482</v>
      </c>
      <c r="W61" s="376"/>
      <c r="X61" s="377"/>
      <c r="Y61" s="378"/>
      <c r="Z61" s="378"/>
      <c r="AA61" s="379"/>
      <c r="AB61" s="334"/>
      <c r="AC61" s="380"/>
      <c r="AD61" s="381"/>
      <c r="AE61" s="382"/>
    </row>
    <row r="62" spans="1:32" x14ac:dyDescent="0.25">
      <c r="A62" s="367">
        <v>0.78300000000000003</v>
      </c>
      <c r="B62" s="368">
        <v>301.57</v>
      </c>
      <c r="C62" s="369">
        <v>2996.8</v>
      </c>
      <c r="D62" s="368">
        <v>19.170000000000002</v>
      </c>
      <c r="E62" s="370">
        <f t="shared" si="14"/>
        <v>6.016</v>
      </c>
      <c r="F62" s="371">
        <v>6.0129999999999999</v>
      </c>
      <c r="G62" s="372" t="str">
        <f t="shared" si="15"/>
        <v>OK</v>
      </c>
      <c r="H62" s="383">
        <f t="shared" si="16"/>
        <v>2215.4</v>
      </c>
      <c r="I62" s="368">
        <v>2215.36</v>
      </c>
      <c r="J62" s="372" t="str">
        <f t="shared" si="17"/>
        <v>OK</v>
      </c>
      <c r="K62" s="356">
        <f t="shared" si="18"/>
        <v>14.19</v>
      </c>
      <c r="L62" s="348">
        <f t="shared" si="19"/>
        <v>14.672857142857143</v>
      </c>
      <c r="M62" s="374" t="str">
        <f t="shared" si="12"/>
        <v>ALARM</v>
      </c>
      <c r="N62" s="384">
        <f t="shared" si="20"/>
        <v>0.61199999999999999</v>
      </c>
      <c r="O62" s="348">
        <f t="shared" si="21"/>
        <v>0.61166666666666669</v>
      </c>
      <c r="P62" s="372" t="str">
        <f t="shared" si="13"/>
        <v>OK</v>
      </c>
      <c r="Q62" s="313">
        <f>$C$3</f>
        <v>500</v>
      </c>
      <c r="R62" s="314">
        <f t="shared" si="22"/>
        <v>52.245569806781255</v>
      </c>
      <c r="S62" s="315">
        <f t="shared" si="23"/>
        <v>2.7212485692937505</v>
      </c>
      <c r="T62" s="313">
        <f>$C$3</f>
        <v>500</v>
      </c>
      <c r="U62" s="314">
        <f t="shared" si="24"/>
        <v>27.281366912499998</v>
      </c>
      <c r="V62" s="314">
        <f t="shared" si="25"/>
        <v>0.89245333399999982</v>
      </c>
      <c r="W62" s="385">
        <f t="shared" ref="W62:W70" si="26">(T62*U62*100)/(135788*V62)</f>
        <v>11.256133177864365</v>
      </c>
      <c r="X62" s="386">
        <f t="shared" ref="X62:X70" si="27">E11</f>
        <v>54.956140493918511</v>
      </c>
      <c r="Y62" s="387">
        <f t="shared" ref="Y62:AA70" si="28">G11</f>
        <v>49.545116731677162</v>
      </c>
      <c r="Z62" s="387">
        <f t="shared" si="28"/>
        <v>2.5035486837502505</v>
      </c>
      <c r="AA62" s="387">
        <f t="shared" si="28"/>
        <v>2.9389484548372509</v>
      </c>
      <c r="AB62" s="334"/>
      <c r="AC62" s="388" t="str">
        <f t="shared" ref="AC62:AC70" si="29">IF(OR(U62&gt;X62,U62&lt;Y62),"FAIL","PASS")</f>
        <v>FAIL</v>
      </c>
      <c r="AD62" s="389" t="str">
        <f t="shared" ref="AD62:AD70" si="30">IF(OR(V62&gt;AA62,V62&lt;Z62),"FAIL","PASS")</f>
        <v>FAIL</v>
      </c>
      <c r="AE62" s="390"/>
      <c r="AF62" s="391" t="s">
        <v>95</v>
      </c>
    </row>
    <row r="63" spans="1:32" x14ac:dyDescent="0.25">
      <c r="A63" s="367">
        <v>0.70299999999999996</v>
      </c>
      <c r="B63" s="368">
        <v>362.99</v>
      </c>
      <c r="C63" s="369">
        <v>2996.5</v>
      </c>
      <c r="D63" s="368">
        <v>18.13</v>
      </c>
      <c r="E63" s="370">
        <f t="shared" si="14"/>
        <v>5.6890000000000001</v>
      </c>
      <c r="F63" s="371">
        <v>5.6890000000000001</v>
      </c>
      <c r="G63" s="372" t="str">
        <f t="shared" si="15"/>
        <v>OK</v>
      </c>
      <c r="H63" s="373">
        <f t="shared" si="16"/>
        <v>2666.7999999999997</v>
      </c>
      <c r="I63" s="368">
        <v>2666.79</v>
      </c>
      <c r="J63" s="372" t="str">
        <f t="shared" si="17"/>
        <v>OK</v>
      </c>
      <c r="K63" s="356">
        <f t="shared" si="18"/>
        <v>12.45</v>
      </c>
      <c r="L63" s="348">
        <f t="shared" si="19"/>
        <v>13.064285714285715</v>
      </c>
      <c r="M63" s="374" t="str">
        <f t="shared" si="12"/>
        <v>ALARM</v>
      </c>
      <c r="N63" s="392">
        <f t="shared" si="20"/>
        <v>0.57899999999999996</v>
      </c>
      <c r="O63" s="348">
        <f t="shared" si="21"/>
        <v>0.57890476190476192</v>
      </c>
      <c r="P63" s="372" t="str">
        <f t="shared" si="13"/>
        <v>OK</v>
      </c>
      <c r="Q63" s="307">
        <f>(Q62+Q64)/2</f>
        <v>2275</v>
      </c>
      <c r="R63" s="308">
        <f t="shared" si="22"/>
        <v>46.598216124680064</v>
      </c>
      <c r="S63" s="309">
        <f t="shared" si="23"/>
        <v>2.5884125314547242</v>
      </c>
      <c r="T63" s="307">
        <f>(T62+T64)/2</f>
        <v>2275</v>
      </c>
      <c r="U63" s="308">
        <f t="shared" si="24"/>
        <v>14.504003909485263</v>
      </c>
      <c r="V63" s="308">
        <f t="shared" si="25"/>
        <v>0.6019023383062202</v>
      </c>
      <c r="W63" s="393">
        <f t="shared" si="26"/>
        <v>40.372150813767306</v>
      </c>
      <c r="X63" s="394">
        <f t="shared" si="27"/>
        <v>49.294480775551101</v>
      </c>
      <c r="Y63" s="395">
        <f t="shared" si="28"/>
        <v>43.933824081786462</v>
      </c>
      <c r="Z63" s="395">
        <f t="shared" si="28"/>
        <v>2.3813395289383466</v>
      </c>
      <c r="AA63" s="395">
        <f t="shared" si="28"/>
        <v>2.7954855339711022</v>
      </c>
      <c r="AB63" s="334"/>
      <c r="AC63" s="396" t="str">
        <f t="shared" si="29"/>
        <v>FAIL</v>
      </c>
      <c r="AD63" s="397" t="str">
        <f t="shared" si="30"/>
        <v>FAIL</v>
      </c>
      <c r="AE63" s="390"/>
    </row>
    <row r="64" spans="1:32" x14ac:dyDescent="0.25">
      <c r="A64" s="367">
        <v>0.65500000000000003</v>
      </c>
      <c r="B64" s="368">
        <v>394.2</v>
      </c>
      <c r="C64" s="369">
        <v>2997.1</v>
      </c>
      <c r="D64" s="368">
        <v>17.93</v>
      </c>
      <c r="E64" s="370">
        <f t="shared" si="14"/>
        <v>5.6280000000000001</v>
      </c>
      <c r="F64" s="371">
        <v>5.6260000000000003</v>
      </c>
      <c r="G64" s="372" t="str">
        <f t="shared" si="15"/>
        <v>OK</v>
      </c>
      <c r="H64" s="373">
        <f t="shared" si="16"/>
        <v>2895.5</v>
      </c>
      <c r="I64" s="368">
        <v>2895.51</v>
      </c>
      <c r="J64" s="372" t="str">
        <f t="shared" si="17"/>
        <v>OK</v>
      </c>
      <c r="K64" s="356">
        <f t="shared" si="18"/>
        <v>11.4</v>
      </c>
      <c r="L64" s="348">
        <f t="shared" si="19"/>
        <v>12.050952380952381</v>
      </c>
      <c r="M64" s="374" t="str">
        <f t="shared" si="12"/>
        <v>ALARM</v>
      </c>
      <c r="N64" s="392">
        <f t="shared" si="20"/>
        <v>0.57199999999999995</v>
      </c>
      <c r="O64" s="348">
        <f t="shared" si="21"/>
        <v>0.57214285714285718</v>
      </c>
      <c r="P64" s="372" t="str">
        <f t="shared" si="13"/>
        <v>OK</v>
      </c>
      <c r="Q64" s="307">
        <f>(Q62+Q66)/2</f>
        <v>4050</v>
      </c>
      <c r="R64" s="308">
        <f t="shared" si="22"/>
        <v>40.537465397409534</v>
      </c>
      <c r="S64" s="309">
        <f t="shared" si="23"/>
        <v>2.5398848447232392</v>
      </c>
      <c r="T64" s="307">
        <f>(T62+T66)/2</f>
        <v>4050</v>
      </c>
      <c r="U64" s="308">
        <f t="shared" si="24"/>
        <v>4.3306062644347776</v>
      </c>
      <c r="V64" s="308">
        <f t="shared" si="25"/>
        <v>0.54116405283227498</v>
      </c>
      <c r="W64" s="393">
        <f t="shared" si="26"/>
        <v>23.867854994742764</v>
      </c>
      <c r="X64" s="394">
        <f t="shared" si="27"/>
        <v>43.360902274433364</v>
      </c>
      <c r="Y64" s="395">
        <f t="shared" si="28"/>
        <v>37.774785601973889</v>
      </c>
      <c r="Z64" s="395">
        <f t="shared" si="28"/>
        <v>2.33669405714538</v>
      </c>
      <c r="AA64" s="395">
        <f t="shared" si="28"/>
        <v>2.7430756323010983</v>
      </c>
      <c r="AB64" s="334"/>
      <c r="AC64" s="396" t="str">
        <f t="shared" si="29"/>
        <v>FAIL</v>
      </c>
      <c r="AD64" s="397" t="str">
        <f t="shared" si="30"/>
        <v>FAIL</v>
      </c>
      <c r="AE64" s="390"/>
    </row>
    <row r="65" spans="1:32" x14ac:dyDescent="0.25">
      <c r="A65" s="367">
        <v>0.55000000000000004</v>
      </c>
      <c r="B65" s="368">
        <v>450.46</v>
      </c>
      <c r="C65" s="369">
        <v>2997.9</v>
      </c>
      <c r="D65" s="368">
        <v>17.86</v>
      </c>
      <c r="E65" s="370">
        <f t="shared" si="14"/>
        <v>5.6070000000000002</v>
      </c>
      <c r="F65" s="371">
        <v>5.6059999999999999</v>
      </c>
      <c r="G65" s="372" t="str">
        <f t="shared" si="15"/>
        <v>OK</v>
      </c>
      <c r="H65" s="373">
        <f t="shared" si="16"/>
        <v>3307.9</v>
      </c>
      <c r="I65" s="368">
        <v>3307.81</v>
      </c>
      <c r="J65" s="372" t="str">
        <f t="shared" si="17"/>
        <v>OK</v>
      </c>
      <c r="K65" s="356">
        <f t="shared" si="18"/>
        <v>9.1199999999999992</v>
      </c>
      <c r="L65" s="348">
        <f t="shared" si="19"/>
        <v>9.836666666666666</v>
      </c>
      <c r="M65" s="374" t="str">
        <f t="shared" si="12"/>
        <v>ALARM</v>
      </c>
      <c r="N65" s="392">
        <f t="shared" si="20"/>
        <v>0.56999999999999995</v>
      </c>
      <c r="O65" s="348">
        <f t="shared" si="21"/>
        <v>0.56961904761904758</v>
      </c>
      <c r="P65" s="372" t="str">
        <f t="shared" si="13"/>
        <v>OK</v>
      </c>
      <c r="Q65" s="307">
        <f>(Q64+Q66)/2</f>
        <v>5825</v>
      </c>
      <c r="R65" s="308">
        <f t="shared" si="22"/>
        <v>33.399631371634094</v>
      </c>
      <c r="S65" s="309">
        <f t="shared" si="23"/>
        <v>2.4580554235397249</v>
      </c>
      <c r="T65" s="307">
        <f>(T64+T66)/2</f>
        <v>5825</v>
      </c>
      <c r="U65" s="308">
        <f t="shared" si="24"/>
        <v>20.730511675392336</v>
      </c>
      <c r="V65" s="308">
        <f t="shared" si="25"/>
        <v>5.1600340830532776E-2</v>
      </c>
      <c r="W65" s="393">
        <f t="shared" si="26"/>
        <v>1723.4234158559784</v>
      </c>
      <c r="X65" s="394">
        <f t="shared" si="27"/>
        <v>36.332462867010086</v>
      </c>
      <c r="Y65" s="395">
        <f t="shared" si="28"/>
        <v>30.589236341325019</v>
      </c>
      <c r="Z65" s="395">
        <f t="shared" si="28"/>
        <v>2.2614109896565471</v>
      </c>
      <c r="AA65" s="395">
        <f t="shared" si="28"/>
        <v>2.6546998574229033</v>
      </c>
      <c r="AB65" s="334"/>
      <c r="AC65" s="396" t="str">
        <f t="shared" si="29"/>
        <v>FAIL</v>
      </c>
      <c r="AD65" s="397" t="str">
        <f t="shared" si="30"/>
        <v>FAIL</v>
      </c>
      <c r="AE65" s="390"/>
    </row>
    <row r="66" spans="1:32" x14ac:dyDescent="0.25">
      <c r="A66" s="367">
        <v>0.42899999999999999</v>
      </c>
      <c r="B66" s="368">
        <v>503.96</v>
      </c>
      <c r="C66" s="369">
        <v>2998.4</v>
      </c>
      <c r="D66" s="368">
        <v>17.47</v>
      </c>
      <c r="E66" s="370">
        <f t="shared" si="14"/>
        <v>5.4859999999999998</v>
      </c>
      <c r="F66" s="371">
        <v>5.4829999999999997</v>
      </c>
      <c r="G66" s="372" t="str">
        <f t="shared" si="15"/>
        <v>OK</v>
      </c>
      <c r="H66" s="383">
        <f t="shared" si="16"/>
        <v>3700.1</v>
      </c>
      <c r="I66" s="368">
        <v>3700.02</v>
      </c>
      <c r="J66" s="372" t="str">
        <f t="shared" si="17"/>
        <v>OK</v>
      </c>
      <c r="K66" s="356">
        <f t="shared" si="18"/>
        <v>6.49</v>
      </c>
      <c r="L66" s="348">
        <f t="shared" si="19"/>
        <v>7.2676190476190481</v>
      </c>
      <c r="M66" s="374" t="str">
        <f t="shared" si="12"/>
        <v>ALARM</v>
      </c>
      <c r="N66" s="384">
        <f t="shared" si="20"/>
        <v>0.55700000000000005</v>
      </c>
      <c r="O66" s="348">
        <f t="shared" si="21"/>
        <v>0.5569047619047619</v>
      </c>
      <c r="P66" s="372" t="str">
        <f t="shared" si="13"/>
        <v>OK</v>
      </c>
      <c r="Q66" s="313">
        <f>$F$3</f>
        <v>7600</v>
      </c>
      <c r="R66" s="314">
        <f t="shared" si="22"/>
        <v>26.279702160517104</v>
      </c>
      <c r="S66" s="315">
        <f t="shared" si="23"/>
        <v>2.3771875742807049</v>
      </c>
      <c r="T66" s="313">
        <f>$F$3</f>
        <v>7600</v>
      </c>
      <c r="U66" s="314">
        <f t="shared" si="24"/>
        <v>405.81232695091239</v>
      </c>
      <c r="V66" s="314">
        <f t="shared" si="25"/>
        <v>-2.1529166204416006</v>
      </c>
      <c r="W66" s="385">
        <f t="shared" si="26"/>
        <v>-1054.9945717807159</v>
      </c>
      <c r="X66" s="386">
        <f t="shared" si="27"/>
        <v>29.142190385995498</v>
      </c>
      <c r="Y66" s="387">
        <f t="shared" si="28"/>
        <v>23.589097694949103</v>
      </c>
      <c r="Z66" s="387">
        <f t="shared" si="28"/>
        <v>2.1870125683382486</v>
      </c>
      <c r="AA66" s="387">
        <f t="shared" si="28"/>
        <v>2.5673625802231617</v>
      </c>
      <c r="AB66" s="398">
        <f>0.9*I3</f>
        <v>55.693060246852674</v>
      </c>
      <c r="AC66" s="388" t="str">
        <f t="shared" si="29"/>
        <v>FAIL</v>
      </c>
      <c r="AD66" s="389" t="str">
        <f t="shared" si="30"/>
        <v>FAIL</v>
      </c>
      <c r="AE66" s="399" t="str">
        <f>IF(W66&lt;AB66,"FAIL","PASS")</f>
        <v>FAIL</v>
      </c>
      <c r="AF66" s="391" t="s">
        <v>96</v>
      </c>
    </row>
    <row r="67" spans="1:32" x14ac:dyDescent="0.25">
      <c r="A67" s="367">
        <v>0.13900000000000001</v>
      </c>
      <c r="B67" s="368">
        <v>605.05999999999995</v>
      </c>
      <c r="C67" s="369">
        <v>2998.6</v>
      </c>
      <c r="D67" s="368">
        <v>15.84</v>
      </c>
      <c r="E67" s="370">
        <f t="shared" si="14"/>
        <v>4.9740000000000002</v>
      </c>
      <c r="F67" s="371">
        <v>4.9740000000000002</v>
      </c>
      <c r="G67" s="372" t="str">
        <f t="shared" si="15"/>
        <v>OK</v>
      </c>
      <c r="H67" s="373">
        <f t="shared" si="16"/>
        <v>4442.1000000000004</v>
      </c>
      <c r="I67" s="368">
        <v>4442.0600000000004</v>
      </c>
      <c r="J67" s="372" t="str">
        <f t="shared" si="17"/>
        <v>OK</v>
      </c>
      <c r="K67" s="356">
        <f t="shared" si="18"/>
        <v>0.2</v>
      </c>
      <c r="L67" s="348">
        <f t="shared" si="19"/>
        <v>1.177142857142857</v>
      </c>
      <c r="M67" s="374" t="str">
        <f t="shared" si="12"/>
        <v>ALARM</v>
      </c>
      <c r="N67" s="392">
        <f t="shared" si="20"/>
        <v>0.505</v>
      </c>
      <c r="O67" s="348">
        <f t="shared" si="21"/>
        <v>0.50509523809523804</v>
      </c>
      <c r="P67" s="372" t="str">
        <f t="shared" si="13"/>
        <v>OK</v>
      </c>
      <c r="Q67" s="307">
        <f>(Q66+Q68)/2</f>
        <v>8450</v>
      </c>
      <c r="R67" s="308">
        <f t="shared" si="22"/>
        <v>23.055908562691634</v>
      </c>
      <c r="S67" s="309">
        <f t="shared" si="23"/>
        <v>2.3464532565127567</v>
      </c>
      <c r="T67" s="307">
        <f>(T66+T68)/2</f>
        <v>8450</v>
      </c>
      <c r="U67" s="308">
        <f t="shared" si="24"/>
        <v>985.47256243340416</v>
      </c>
      <c r="V67" s="308">
        <f t="shared" si="25"/>
        <v>-4.351839542537725</v>
      </c>
      <c r="W67" s="393">
        <f t="shared" si="26"/>
        <v>-1409.1816534635811</v>
      </c>
      <c r="X67" s="394">
        <f t="shared" si="27"/>
        <v>25.883351678633328</v>
      </c>
      <c r="Y67" s="395">
        <f t="shared" si="28"/>
        <v>20.373858005058374</v>
      </c>
      <c r="Z67" s="395">
        <f t="shared" si="28"/>
        <v>2.1587369959917364</v>
      </c>
      <c r="AA67" s="395">
        <f t="shared" si="28"/>
        <v>2.5341695170337775</v>
      </c>
      <c r="AB67" s="334"/>
      <c r="AC67" s="396" t="str">
        <f t="shared" si="29"/>
        <v>FAIL</v>
      </c>
      <c r="AD67" s="397" t="str">
        <f t="shared" si="30"/>
        <v>FAIL</v>
      </c>
      <c r="AE67" s="390"/>
    </row>
    <row r="68" spans="1:32" x14ac:dyDescent="0.25">
      <c r="A68" s="367"/>
      <c r="B68" s="368"/>
      <c r="C68" s="369"/>
      <c r="D68" s="368"/>
      <c r="E68" s="370">
        <f t="shared" si="14"/>
        <v>0</v>
      </c>
      <c r="F68" s="371"/>
      <c r="G68" s="372" t="str">
        <f t="shared" si="15"/>
        <v>OK</v>
      </c>
      <c r="H68" s="373" t="e">
        <f t="shared" si="16"/>
        <v>#DIV/0!</v>
      </c>
      <c r="I68" s="368"/>
      <c r="J68" s="372" t="e">
        <f t="shared" si="17"/>
        <v>#DIV/0!</v>
      </c>
      <c r="K68" s="356" t="e">
        <f t="shared" si="18"/>
        <v>#DIV/0!</v>
      </c>
      <c r="L68" s="368"/>
      <c r="M68" s="374" t="e">
        <f t="shared" si="12"/>
        <v>#DIV/0!</v>
      </c>
      <c r="N68" s="392" t="e">
        <f t="shared" si="20"/>
        <v>#DIV/0!</v>
      </c>
      <c r="O68" s="371"/>
      <c r="P68" s="372" t="e">
        <f t="shared" si="13"/>
        <v>#DIV/0!</v>
      </c>
      <c r="Q68" s="307">
        <f>(Q66+Q70)/2</f>
        <v>9300</v>
      </c>
      <c r="R68" s="308">
        <f t="shared" si="22"/>
        <v>19.756738027207419</v>
      </c>
      <c r="S68" s="309">
        <f t="shared" si="23"/>
        <v>2.308011977164421</v>
      </c>
      <c r="T68" s="307">
        <f>(T66+T70)/2</f>
        <v>9300</v>
      </c>
      <c r="U68" s="308">
        <f t="shared" si="24"/>
        <v>2060.2226455121181</v>
      </c>
      <c r="V68" s="308">
        <f t="shared" si="25"/>
        <v>-7.6347201862016014</v>
      </c>
      <c r="W68" s="393">
        <f t="shared" si="26"/>
        <v>-1848.1728609233053</v>
      </c>
      <c r="X68" s="394">
        <f t="shared" si="27"/>
        <v>22.670211021019703</v>
      </c>
      <c r="Y68" s="395">
        <f t="shared" si="28"/>
        <v>16.886386393688504</v>
      </c>
      <c r="Z68" s="395">
        <f t="shared" si="28"/>
        <v>2.1233710189912673</v>
      </c>
      <c r="AA68" s="395">
        <f t="shared" si="28"/>
        <v>2.4926529353375746</v>
      </c>
      <c r="AB68" s="334"/>
      <c r="AC68" s="396" t="str">
        <f t="shared" si="29"/>
        <v>FAIL</v>
      </c>
      <c r="AD68" s="397" t="str">
        <f t="shared" si="30"/>
        <v>FAIL</v>
      </c>
      <c r="AE68" s="390"/>
    </row>
    <row r="69" spans="1:32" x14ac:dyDescent="0.25">
      <c r="A69" s="367"/>
      <c r="B69" s="368"/>
      <c r="C69" s="369"/>
      <c r="D69" s="368"/>
      <c r="E69" s="370">
        <f t="shared" si="14"/>
        <v>0</v>
      </c>
      <c r="F69" s="371"/>
      <c r="G69" s="372" t="str">
        <f t="shared" si="15"/>
        <v>OK</v>
      </c>
      <c r="H69" s="373" t="e">
        <f t="shared" si="16"/>
        <v>#DIV/0!</v>
      </c>
      <c r="I69" s="368"/>
      <c r="J69" s="372" t="e">
        <f t="shared" si="17"/>
        <v>#DIV/0!</v>
      </c>
      <c r="K69" s="356" t="e">
        <f t="shared" si="18"/>
        <v>#DIV/0!</v>
      </c>
      <c r="L69" s="368"/>
      <c r="M69" s="374" t="e">
        <f t="shared" si="12"/>
        <v>#DIV/0!</v>
      </c>
      <c r="N69" s="392" t="e">
        <f t="shared" si="20"/>
        <v>#DIV/0!</v>
      </c>
      <c r="O69" s="371"/>
      <c r="P69" s="372" t="e">
        <f t="shared" si="13"/>
        <v>#DIV/0!</v>
      </c>
      <c r="Q69" s="307">
        <f>(Q68+Q70)/2</f>
        <v>10150</v>
      </c>
      <c r="R69" s="308">
        <f t="shared" si="22"/>
        <v>15.946139712867335</v>
      </c>
      <c r="S69" s="309">
        <f t="shared" si="23"/>
        <v>2.2339832894354554</v>
      </c>
      <c r="T69" s="307">
        <f>(T68+T70)/2</f>
        <v>10150</v>
      </c>
      <c r="U69" s="308">
        <f t="shared" si="24"/>
        <v>3885.1062652761102</v>
      </c>
      <c r="V69" s="308">
        <f t="shared" si="25"/>
        <v>-12.295653512191226</v>
      </c>
      <c r="W69" s="393">
        <f t="shared" si="26"/>
        <v>-2361.8697084546443</v>
      </c>
      <c r="X69" s="394">
        <f t="shared" si="27"/>
        <v>19.232937014906632</v>
      </c>
      <c r="Y69" s="395">
        <f t="shared" si="28"/>
        <v>12.477690658235751</v>
      </c>
      <c r="Z69" s="395">
        <f t="shared" si="28"/>
        <v>2.0552646262806191</v>
      </c>
      <c r="AA69" s="395">
        <f t="shared" si="28"/>
        <v>2.4127019525902922</v>
      </c>
      <c r="AB69" s="334"/>
      <c r="AC69" s="396" t="str">
        <f t="shared" si="29"/>
        <v>FAIL</v>
      </c>
      <c r="AD69" s="397" t="str">
        <f t="shared" si="30"/>
        <v>FAIL</v>
      </c>
      <c r="AE69" s="390"/>
    </row>
    <row r="70" spans="1:32" x14ac:dyDescent="0.25">
      <c r="A70" s="367"/>
      <c r="B70" s="368"/>
      <c r="C70" s="369"/>
      <c r="D70" s="368"/>
      <c r="E70" s="370">
        <f t="shared" si="14"/>
        <v>0</v>
      </c>
      <c r="F70" s="371"/>
      <c r="G70" s="372" t="str">
        <f t="shared" si="15"/>
        <v>OK</v>
      </c>
      <c r="H70" s="383" t="e">
        <f t="shared" si="16"/>
        <v>#DIV/0!</v>
      </c>
      <c r="I70" s="368"/>
      <c r="J70" s="372" t="e">
        <f t="shared" si="17"/>
        <v>#DIV/0!</v>
      </c>
      <c r="K70" s="356" t="e">
        <f t="shared" si="18"/>
        <v>#DIV/0!</v>
      </c>
      <c r="L70" s="368"/>
      <c r="M70" s="374" t="e">
        <f t="shared" si="12"/>
        <v>#DIV/0!</v>
      </c>
      <c r="N70" s="384" t="e">
        <f t="shared" si="20"/>
        <v>#DIV/0!</v>
      </c>
      <c r="O70" s="371"/>
      <c r="P70" s="372" t="e">
        <f t="shared" si="13"/>
        <v>#DIV/0!</v>
      </c>
      <c r="Q70" s="313">
        <f>$J$3</f>
        <v>11000</v>
      </c>
      <c r="R70" s="314">
        <f t="shared" si="22"/>
        <v>10.878983427000009</v>
      </c>
      <c r="S70" s="315">
        <f t="shared" si="23"/>
        <v>2.0764822614000007</v>
      </c>
      <c r="T70" s="313">
        <f>$J$3</f>
        <v>11000</v>
      </c>
      <c r="U70" s="314">
        <f t="shared" si="24"/>
        <v>6788.9785582000004</v>
      </c>
      <c r="V70" s="314">
        <f t="shared" si="25"/>
        <v>-18.661732575999999</v>
      </c>
      <c r="W70" s="385">
        <f t="shared" si="26"/>
        <v>-2947.0246523839864</v>
      </c>
      <c r="X70" s="386">
        <f t="shared" si="27"/>
        <v>15.06778191805973</v>
      </c>
      <c r="Y70" s="387">
        <f t="shared" si="28"/>
        <v>6.100804721708883</v>
      </c>
      <c r="Z70" s="387">
        <f t="shared" si="28"/>
        <v>1.9103636804880006</v>
      </c>
      <c r="AA70" s="387">
        <f t="shared" si="28"/>
        <v>2.242600842312001</v>
      </c>
      <c r="AB70" s="334"/>
      <c r="AC70" s="388" t="str">
        <f t="shared" si="29"/>
        <v>FAIL</v>
      </c>
      <c r="AD70" s="389" t="str">
        <f t="shared" si="30"/>
        <v>FAIL</v>
      </c>
      <c r="AE70" s="390"/>
      <c r="AF70" s="400" t="s">
        <v>97</v>
      </c>
    </row>
    <row r="71" spans="1:32" x14ac:dyDescent="0.25">
      <c r="A71" s="367"/>
      <c r="B71" s="368"/>
      <c r="C71" s="369"/>
      <c r="D71" s="368"/>
      <c r="E71" s="310"/>
      <c r="F71" s="371"/>
      <c r="G71" s="311"/>
      <c r="H71" s="401"/>
      <c r="I71" s="368"/>
      <c r="J71" s="311"/>
      <c r="K71" s="402"/>
      <c r="L71" s="368"/>
      <c r="M71" s="403"/>
      <c r="N71" s="404"/>
      <c r="O71" s="371"/>
      <c r="P71" s="311"/>
      <c r="Q71" s="307">
        <f>(Q70+Q72)/2</f>
        <v>11500</v>
      </c>
      <c r="R71" s="308">
        <f t="shared" si="22"/>
        <v>6.8777239709687876</v>
      </c>
      <c r="S71" s="309">
        <f t="shared" si="23"/>
        <v>1.9168084970062509</v>
      </c>
      <c r="T71" s="307">
        <f>(T70+T72)/2</f>
        <v>11500</v>
      </c>
      <c r="U71" s="308">
        <f t="shared" si="24"/>
        <v>9163.4480048624973</v>
      </c>
      <c r="V71" s="308">
        <f t="shared" si="25"/>
        <v>-23.346758558499996</v>
      </c>
      <c r="W71" s="376"/>
      <c r="X71" s="377"/>
      <c r="Y71" s="378"/>
      <c r="Z71" s="378"/>
      <c r="AA71" s="379"/>
      <c r="AB71" s="334"/>
      <c r="AC71" s="380"/>
      <c r="AD71" s="381"/>
      <c r="AE71" s="382"/>
    </row>
    <row r="72" spans="1:32" ht="13.2" thickBot="1" x14ac:dyDescent="0.3">
      <c r="A72" s="405"/>
      <c r="B72" s="406"/>
      <c r="C72" s="407"/>
      <c r="D72" s="406"/>
      <c r="E72" s="325"/>
      <c r="F72" s="408"/>
      <c r="G72" s="326"/>
      <c r="H72" s="409"/>
      <c r="I72" s="421"/>
      <c r="J72" s="326"/>
      <c r="K72" s="410"/>
      <c r="L72" s="406"/>
      <c r="M72" s="344"/>
      <c r="N72" s="411"/>
      <c r="O72" s="408"/>
      <c r="P72" s="326"/>
      <c r="Q72" s="322">
        <f>$N$3</f>
        <v>12000</v>
      </c>
      <c r="R72" s="323">
        <f t="shared" si="22"/>
        <v>1.7660538239999255</v>
      </c>
      <c r="S72" s="324">
        <f t="shared" si="23"/>
        <v>1.6844520287999956</v>
      </c>
      <c r="T72" s="322">
        <f>$N$3</f>
        <v>12000</v>
      </c>
      <c r="U72" s="323">
        <f t="shared" si="24"/>
        <v>12150.509432400002</v>
      </c>
      <c r="V72" s="323">
        <f t="shared" si="25"/>
        <v>-28.824404335999997</v>
      </c>
      <c r="W72" s="412"/>
      <c r="X72" s="413"/>
      <c r="Y72" s="414"/>
      <c r="Z72" s="414"/>
      <c r="AA72" s="415"/>
      <c r="AB72" s="416"/>
      <c r="AC72" s="417"/>
      <c r="AD72" s="418"/>
      <c r="AE72" s="419"/>
    </row>
    <row r="73" spans="1:32" x14ac:dyDescent="0.25">
      <c r="I73" s="422"/>
      <c r="L73" s="422">
        <v>599.85</v>
      </c>
      <c r="O73" s="422">
        <v>21.625</v>
      </c>
    </row>
    <row r="74" spans="1:32" x14ac:dyDescent="0.25">
      <c r="I74" s="422"/>
      <c r="L74" s="422">
        <v>357.15</v>
      </c>
      <c r="O74" s="422">
        <v>13.555999999999999</v>
      </c>
    </row>
    <row r="75" spans="1:32" x14ac:dyDescent="0.25">
      <c r="I75" s="422"/>
      <c r="L75" s="422">
        <v>308.13</v>
      </c>
      <c r="O75" s="422">
        <v>12.845000000000001</v>
      </c>
    </row>
    <row r="76" spans="1:32" x14ac:dyDescent="0.25">
      <c r="I76" s="422"/>
      <c r="L76" s="422">
        <v>274.35000000000002</v>
      </c>
      <c r="O76" s="422">
        <v>12.157</v>
      </c>
    </row>
    <row r="77" spans="1:32" x14ac:dyDescent="0.25">
      <c r="I77" s="422"/>
      <c r="L77" s="422">
        <v>253.07</v>
      </c>
      <c r="O77" s="422">
        <v>12.015000000000001</v>
      </c>
    </row>
    <row r="78" spans="1:32" x14ac:dyDescent="0.25">
      <c r="I78" s="422"/>
      <c r="L78" s="422">
        <v>206.57</v>
      </c>
      <c r="O78" s="422">
        <v>11.962</v>
      </c>
    </row>
    <row r="79" spans="1:32" x14ac:dyDescent="0.25">
      <c r="I79" s="422"/>
      <c r="L79" s="422">
        <v>152.62</v>
      </c>
      <c r="O79" s="422">
        <v>11.695</v>
      </c>
    </row>
    <row r="80" spans="1:32" x14ac:dyDescent="0.25">
      <c r="I80" s="422"/>
      <c r="L80" s="422">
        <v>24.72</v>
      </c>
      <c r="O80" s="422">
        <v>10.606999999999999</v>
      </c>
    </row>
  </sheetData>
  <mergeCells count="26">
    <mergeCell ref="X49:Y49"/>
    <mergeCell ref="A1:N1"/>
    <mergeCell ref="O1:T1"/>
    <mergeCell ref="U1:Z1"/>
    <mergeCell ref="AA1:AF1"/>
    <mergeCell ref="A4:N4"/>
    <mergeCell ref="A5:C5"/>
    <mergeCell ref="D5:I5"/>
    <mergeCell ref="AA5:AD5"/>
    <mergeCell ref="D6:E6"/>
    <mergeCell ref="F6:G6"/>
    <mergeCell ref="J8:M8"/>
    <mergeCell ref="J11:M11"/>
    <mergeCell ref="J14:M14"/>
    <mergeCell ref="AC58:AE58"/>
    <mergeCell ref="A51:L51"/>
    <mergeCell ref="A56:B56"/>
    <mergeCell ref="D56:F56"/>
    <mergeCell ref="H56:P56"/>
    <mergeCell ref="Q56:S56"/>
    <mergeCell ref="T56:W56"/>
    <mergeCell ref="A57:G57"/>
    <mergeCell ref="H57:P57"/>
    <mergeCell ref="Q57:S57"/>
    <mergeCell ref="T57:W57"/>
    <mergeCell ref="X57:AB57"/>
  </mergeCells>
  <pageMargins left="0.75" right="0.75" top="1" bottom="1" header="0.5" footer="0.5"/>
  <pageSetup paperSize="3" scale="53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80"/>
  <sheetViews>
    <sheetView zoomScale="90" zoomScaleNormal="90" workbookViewId="0">
      <selection activeCell="A2" sqref="A2"/>
    </sheetView>
  </sheetViews>
  <sheetFormatPr defaultRowHeight="12.6" x14ac:dyDescent="0.25"/>
  <cols>
    <col min="1" max="1" width="12.6640625" style="255" customWidth="1"/>
    <col min="2" max="2" width="14.109375" style="255" bestFit="1" customWidth="1"/>
    <col min="3" max="3" width="15.33203125" style="255" bestFit="1" customWidth="1"/>
    <col min="4" max="4" width="14.109375" style="255" bestFit="1" customWidth="1"/>
    <col min="5" max="5" width="13" style="255" bestFit="1" customWidth="1"/>
    <col min="6" max="6" width="13.33203125" style="255" bestFit="1" customWidth="1"/>
    <col min="7" max="7" width="13.88671875" style="255" bestFit="1" customWidth="1"/>
    <col min="8" max="8" width="13.5546875" style="255" bestFit="1" customWidth="1"/>
    <col min="9" max="9" width="14.109375" style="255" bestFit="1" customWidth="1"/>
    <col min="10" max="10" width="14.44140625" style="255" bestFit="1" customWidth="1"/>
    <col min="11" max="11" width="13.88671875" style="255" bestFit="1" customWidth="1"/>
    <col min="12" max="12" width="14.6640625" style="255" bestFit="1" customWidth="1"/>
    <col min="13" max="13" width="14" style="255" customWidth="1"/>
    <col min="14" max="14" width="16.21875" style="255" bestFit="1" customWidth="1"/>
    <col min="15" max="15" width="14" style="255" bestFit="1" customWidth="1"/>
    <col min="16" max="16" width="14.109375" style="255" customWidth="1"/>
    <col min="17" max="17" width="14.88671875" style="280" bestFit="1" customWidth="1"/>
    <col min="18" max="18" width="13.88671875" style="280" bestFit="1" customWidth="1"/>
    <col min="19" max="19" width="14.44140625" style="280" bestFit="1" customWidth="1"/>
    <col min="20" max="20" width="13.5546875" style="280" bestFit="1" customWidth="1"/>
    <col min="21" max="22" width="13.88671875" style="255" bestFit="1" customWidth="1"/>
    <col min="23" max="23" width="14.6640625" style="255" bestFit="1" customWidth="1"/>
    <col min="24" max="24" width="13.5546875" style="255" bestFit="1" customWidth="1"/>
    <col min="25" max="25" width="14.6640625" style="255" bestFit="1" customWidth="1"/>
    <col min="26" max="26" width="13.5546875" style="255" bestFit="1" customWidth="1"/>
    <col min="27" max="28" width="12.21875" style="255" bestFit="1" customWidth="1"/>
    <col min="29" max="30" width="12.77734375" style="255" bestFit="1" customWidth="1"/>
    <col min="31" max="31" width="13.77734375" style="255" customWidth="1"/>
    <col min="32" max="32" width="12.77734375" style="255" bestFit="1" customWidth="1"/>
    <col min="33" max="16384" width="8.88671875" style="255"/>
  </cols>
  <sheetData>
    <row r="1" spans="1:57" ht="41.25" customHeight="1" thickBot="1" x14ac:dyDescent="0.3">
      <c r="A1" s="519" t="s">
        <v>206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1"/>
      <c r="O1" s="522" t="s">
        <v>38</v>
      </c>
      <c r="P1" s="523"/>
      <c r="Q1" s="523"/>
      <c r="R1" s="523"/>
      <c r="S1" s="523"/>
      <c r="T1" s="523"/>
      <c r="U1" s="522" t="s">
        <v>39</v>
      </c>
      <c r="V1" s="523"/>
      <c r="W1" s="523"/>
      <c r="X1" s="523"/>
      <c r="Y1" s="523"/>
      <c r="Z1" s="524"/>
      <c r="AA1" s="525" t="s">
        <v>133</v>
      </c>
      <c r="AB1" s="526"/>
      <c r="AC1" s="526"/>
      <c r="AD1" s="526"/>
      <c r="AE1" s="526"/>
      <c r="AF1" s="526"/>
    </row>
    <row r="2" spans="1:57" s="265" customFormat="1" ht="50.4" x14ac:dyDescent="0.25">
      <c r="A2" s="256" t="s">
        <v>22</v>
      </c>
      <c r="B2" s="257" t="s">
        <v>26</v>
      </c>
      <c r="C2" s="258" t="s">
        <v>23</v>
      </c>
      <c r="D2" s="257" t="s">
        <v>24</v>
      </c>
      <c r="E2" s="257" t="s">
        <v>25</v>
      </c>
      <c r="F2" s="259" t="s">
        <v>27</v>
      </c>
      <c r="G2" s="257" t="s">
        <v>28</v>
      </c>
      <c r="H2" s="257" t="s">
        <v>29</v>
      </c>
      <c r="I2" s="260" t="s">
        <v>30</v>
      </c>
      <c r="J2" s="261" t="s">
        <v>31</v>
      </c>
      <c r="K2" s="257" t="s">
        <v>32</v>
      </c>
      <c r="L2" s="257" t="s">
        <v>33</v>
      </c>
      <c r="M2" s="257"/>
      <c r="N2" s="262" t="s">
        <v>34</v>
      </c>
      <c r="O2" s="263" t="s">
        <v>189</v>
      </c>
      <c r="P2" s="263" t="s">
        <v>2</v>
      </c>
      <c r="Q2" s="263" t="s">
        <v>3</v>
      </c>
      <c r="R2" s="263" t="s">
        <v>4</v>
      </c>
      <c r="S2" s="263" t="s">
        <v>5</v>
      </c>
      <c r="T2" s="263" t="s">
        <v>6</v>
      </c>
      <c r="U2" s="263" t="s">
        <v>188</v>
      </c>
      <c r="V2" s="263" t="s">
        <v>8</v>
      </c>
      <c r="W2" s="263" t="s">
        <v>9</v>
      </c>
      <c r="X2" s="263" t="s">
        <v>10</v>
      </c>
      <c r="Y2" s="263" t="s">
        <v>11</v>
      </c>
      <c r="Z2" s="264" t="s">
        <v>12</v>
      </c>
      <c r="AA2" s="274" t="s">
        <v>182</v>
      </c>
      <c r="AB2" s="275" t="s">
        <v>183</v>
      </c>
      <c r="AC2" s="275" t="s">
        <v>184</v>
      </c>
      <c r="AD2" s="275" t="s">
        <v>185</v>
      </c>
      <c r="AE2" s="275" t="s">
        <v>186</v>
      </c>
      <c r="AF2" s="276" t="s">
        <v>187</v>
      </c>
    </row>
    <row r="3" spans="1:57" s="265" customFormat="1" ht="13.2" thickBot="1" x14ac:dyDescent="0.3">
      <c r="A3" s="266">
        <f>'Pump coeff'!M4</f>
        <v>54.3</v>
      </c>
      <c r="B3" s="267">
        <f>'Pump coeff'!N4</f>
        <v>2.8245</v>
      </c>
      <c r="C3" s="268">
        <f>'Pump coeff'!O4</f>
        <v>500</v>
      </c>
      <c r="D3" s="267">
        <f>'Pump coeff'!P4</f>
        <v>52.245569806781255</v>
      </c>
      <c r="E3" s="267">
        <f>'Pump coeff'!Q4</f>
        <v>2.7212485692937505</v>
      </c>
      <c r="F3" s="268">
        <f>'Pump coeff'!R4</f>
        <v>7600</v>
      </c>
      <c r="G3" s="267">
        <f>'Pump coeff'!S4</f>
        <v>26.279702160517104</v>
      </c>
      <c r="H3" s="267">
        <f>'Pump coeff'!T4</f>
        <v>2.3771875742807049</v>
      </c>
      <c r="I3" s="269">
        <f>'Pump coeff'!U4</f>
        <v>61.881178052058523</v>
      </c>
      <c r="J3" s="268">
        <f>'Pump coeff'!V4</f>
        <v>11000</v>
      </c>
      <c r="K3" s="267">
        <f>'Pump coeff'!W4</f>
        <v>10.878983427000009</v>
      </c>
      <c r="L3" s="267">
        <f>'Pump coeff'!X4</f>
        <v>2.0764822614000007</v>
      </c>
      <c r="M3" s="270"/>
      <c r="N3" s="271">
        <f>'Pump coeff'!Z4</f>
        <v>12000</v>
      </c>
      <c r="O3" s="272">
        <f>'Pump coeff'!AA4</f>
        <v>54.3</v>
      </c>
      <c r="P3" s="272">
        <f>'Pump coeff'!AB4</f>
        <v>-4.5550820000000002E-3</v>
      </c>
      <c r="Q3" s="272">
        <f>'Pump coeff'!AC4</f>
        <v>1.031675E-6</v>
      </c>
      <c r="R3" s="272">
        <f>'Pump coeff'!AD4</f>
        <v>-2.9421260000000001E-10</v>
      </c>
      <c r="S3" s="272">
        <f>'Pump coeff'!AE4</f>
        <v>3.210864E-14</v>
      </c>
      <c r="T3" s="272">
        <f>'Pump coeff'!AF4</f>
        <v>-1.221063E-18</v>
      </c>
      <c r="U3" s="272">
        <f>'Pump coeff'!AG4</f>
        <v>2.8245</v>
      </c>
      <c r="V3" s="272">
        <f>'Pump coeff'!AH4</f>
        <v>-2.561385E-4</v>
      </c>
      <c r="W3" s="272">
        <f>'Pump coeff'!AI4</f>
        <v>1.1078640000000001E-7</v>
      </c>
      <c r="X3" s="272">
        <f>'Pump coeff'!AJ4</f>
        <v>-2.4189500000000001E-11</v>
      </c>
      <c r="Y3" s="272">
        <f>'Pump coeff'!AK4</f>
        <v>2.3610659999999999E-15</v>
      </c>
      <c r="Z3" s="273">
        <f>'Pump coeff'!AL4</f>
        <v>-8.51146E-20</v>
      </c>
      <c r="AA3" s="294"/>
      <c r="AB3" s="294"/>
      <c r="AC3" s="294"/>
      <c r="AD3" s="294"/>
      <c r="AE3" s="294"/>
      <c r="AF3" s="294"/>
    </row>
    <row r="4" spans="1:57" s="265" customFormat="1" ht="13.2" thickBot="1" x14ac:dyDescent="0.3">
      <c r="A4" s="527" t="s">
        <v>181</v>
      </c>
      <c r="B4" s="528"/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277">
        <v>55.159590000000001</v>
      </c>
      <c r="P4" s="277">
        <v>2.8504939999999999E-3</v>
      </c>
      <c r="Q4" s="277">
        <v>-4.5945139999999998E-6</v>
      </c>
      <c r="R4" s="277">
        <v>9.4705750000000007E-10</v>
      </c>
      <c r="S4" s="277">
        <v>-7.7101360000000002E-14</v>
      </c>
      <c r="T4" s="277">
        <v>2.017562E-18</v>
      </c>
      <c r="U4" s="277">
        <v>2.8273730000000001</v>
      </c>
      <c r="V4" s="277">
        <v>1.4095939999999999E-4</v>
      </c>
      <c r="W4" s="277">
        <v>-4.3633410000000003E-8</v>
      </c>
      <c r="X4" s="277">
        <v>-3.3305100000000001E-12</v>
      </c>
      <c r="Y4" s="277">
        <v>1.599288E-15</v>
      </c>
      <c r="Z4" s="278">
        <v>-9.9028209999999997E-20</v>
      </c>
      <c r="AA4" s="427">
        <v>3.72368E-2</v>
      </c>
      <c r="AB4" s="428">
        <v>1.5878030000000001E-2</v>
      </c>
      <c r="AC4" s="428">
        <v>-1.9602540000000001E-6</v>
      </c>
      <c r="AD4" s="428">
        <v>4.1427299999999998E-11</v>
      </c>
      <c r="AE4" s="428">
        <v>2.1266079999999999E-14</v>
      </c>
      <c r="AF4" s="429">
        <v>-2.1092409999999999E-18</v>
      </c>
    </row>
    <row r="5" spans="1:57" ht="13.2" thickBot="1" x14ac:dyDescent="0.3">
      <c r="A5" s="529" t="s">
        <v>76</v>
      </c>
      <c r="B5" s="530"/>
      <c r="C5" s="531"/>
      <c r="D5" s="529" t="s">
        <v>84</v>
      </c>
      <c r="E5" s="530"/>
      <c r="F5" s="532"/>
      <c r="G5" s="532"/>
      <c r="H5" s="532"/>
      <c r="I5" s="533"/>
      <c r="J5" s="279"/>
      <c r="K5" s="279"/>
      <c r="L5" s="279"/>
      <c r="M5" s="279"/>
      <c r="N5" s="279"/>
      <c r="AA5" s="534" t="s">
        <v>199</v>
      </c>
      <c r="AB5" s="535"/>
      <c r="AC5" s="535"/>
      <c r="AD5" s="536"/>
    </row>
    <row r="6" spans="1:57" ht="38.25" customHeight="1" thickBot="1" x14ac:dyDescent="0.3">
      <c r="A6" s="281"/>
      <c r="B6" s="282"/>
      <c r="C6" s="283"/>
      <c r="D6" s="505" t="s">
        <v>85</v>
      </c>
      <c r="E6" s="506"/>
      <c r="F6" s="505" t="s">
        <v>86</v>
      </c>
      <c r="G6" s="506"/>
      <c r="H6" s="284"/>
      <c r="I6" s="285"/>
      <c r="J6" s="279"/>
      <c r="K6" s="279"/>
      <c r="L6" s="279"/>
      <c r="M6" s="279"/>
      <c r="N6" s="279"/>
      <c r="AA6" s="286"/>
      <c r="AB6" s="287"/>
      <c r="AC6" s="288"/>
      <c r="AD6" s="289"/>
    </row>
    <row r="7" spans="1:57" x14ac:dyDescent="0.25">
      <c r="A7" s="274" t="s">
        <v>70</v>
      </c>
      <c r="B7" s="275" t="s">
        <v>72</v>
      </c>
      <c r="C7" s="276" t="s">
        <v>74</v>
      </c>
      <c r="D7" s="274" t="s">
        <v>78</v>
      </c>
      <c r="E7" s="275" t="s">
        <v>81</v>
      </c>
      <c r="F7" s="275" t="s">
        <v>80</v>
      </c>
      <c r="G7" s="275" t="s">
        <v>79</v>
      </c>
      <c r="H7" s="275" t="s">
        <v>82</v>
      </c>
      <c r="I7" s="276" t="s">
        <v>83</v>
      </c>
      <c r="J7" s="290"/>
      <c r="K7" s="290"/>
      <c r="L7" s="290"/>
      <c r="M7" s="290"/>
      <c r="N7" s="290"/>
      <c r="AA7" s="274" t="s">
        <v>70</v>
      </c>
      <c r="AB7" s="275" t="s">
        <v>72</v>
      </c>
      <c r="AC7" s="291" t="s">
        <v>74</v>
      </c>
      <c r="AD7" s="292" t="s">
        <v>135</v>
      </c>
    </row>
    <row r="8" spans="1:57" ht="13.2" thickBot="1" x14ac:dyDescent="0.3">
      <c r="A8" s="293" t="s">
        <v>71</v>
      </c>
      <c r="B8" s="294" t="s">
        <v>73</v>
      </c>
      <c r="C8" s="295" t="s">
        <v>75</v>
      </c>
      <c r="D8" s="293" t="s">
        <v>71</v>
      </c>
      <c r="E8" s="294" t="s">
        <v>73</v>
      </c>
      <c r="F8" s="294" t="s">
        <v>71</v>
      </c>
      <c r="G8" s="294" t="s">
        <v>73</v>
      </c>
      <c r="H8" s="294" t="s">
        <v>75</v>
      </c>
      <c r="I8" s="295" t="s">
        <v>75</v>
      </c>
      <c r="J8" s="518" t="s">
        <v>98</v>
      </c>
      <c r="K8" s="489"/>
      <c r="L8" s="489"/>
      <c r="M8" s="489"/>
      <c r="N8" s="290"/>
      <c r="AA8" s="293" t="s">
        <v>71</v>
      </c>
      <c r="AB8" s="294" t="s">
        <v>73</v>
      </c>
      <c r="AC8" s="296" t="s">
        <v>75</v>
      </c>
      <c r="AD8" s="297" t="s">
        <v>92</v>
      </c>
    </row>
    <row r="9" spans="1:57" x14ac:dyDescent="0.25">
      <c r="A9" s="298">
        <v>0</v>
      </c>
      <c r="B9" s="299">
        <f>O3</f>
        <v>54.3</v>
      </c>
      <c r="C9" s="300">
        <f>U3</f>
        <v>2.8245</v>
      </c>
      <c r="D9" s="298"/>
      <c r="E9" s="299"/>
      <c r="F9" s="301"/>
      <c r="G9" s="299"/>
      <c r="H9" s="301"/>
      <c r="I9" s="302"/>
      <c r="J9" s="303">
        <f>A11</f>
        <v>500</v>
      </c>
      <c r="K9" s="255">
        <v>0</v>
      </c>
      <c r="L9" s="255">
        <v>0</v>
      </c>
      <c r="M9" s="255">
        <v>0</v>
      </c>
      <c r="AA9" s="304">
        <f>A9</f>
        <v>0</v>
      </c>
      <c r="AB9" s="305">
        <f>O4</f>
        <v>55.159590000000001</v>
      </c>
      <c r="AC9" s="306">
        <f>U4</f>
        <v>2.8273730000000001</v>
      </c>
      <c r="AD9" s="424">
        <f>AA4</f>
        <v>3.72368E-2</v>
      </c>
    </row>
    <row r="10" spans="1:57" x14ac:dyDescent="0.25">
      <c r="A10" s="307">
        <f>(A9+A11)/2</f>
        <v>250</v>
      </c>
      <c r="B10" s="308">
        <f t="shared" ref="B10:B21" si="0">$O$3+$P$3*A10+$Q$3*A10^2+$R$3*A10^3+$S$3*A10^4+$T$3*A10^5</f>
        <v>53.22123634755566</v>
      </c>
      <c r="C10" s="309">
        <f t="shared" ref="C10:C21" si="1">$U$3+$V$3*A10+$W$3*A10^2+$X$3*A10^3+$Y$3*A10^4+$Z$3*A10^5</f>
        <v>2.767020703856836</v>
      </c>
      <c r="D10" s="307"/>
      <c r="E10" s="308"/>
      <c r="F10" s="310"/>
      <c r="G10" s="308"/>
      <c r="H10" s="310"/>
      <c r="I10" s="311"/>
      <c r="J10" s="303">
        <f>A11</f>
        <v>500</v>
      </c>
      <c r="K10" s="255">
        <v>60</v>
      </c>
      <c r="L10" s="255">
        <v>3.5</v>
      </c>
      <c r="M10" s="255">
        <v>70</v>
      </c>
      <c r="AA10" s="307">
        <f t="shared" ref="AA10:AA21" si="2">A10</f>
        <v>250</v>
      </c>
      <c r="AB10" s="308">
        <f>$O$4+$P$4*A10+$Q$4*A10^2+$R$4*A10^3+$S$4*A10^4+$T$4*A10^5</f>
        <v>55.59955494152539</v>
      </c>
      <c r="AC10" s="312">
        <f>$U$4+$V$4*AA10+$W$4*AA10^2+$X$4*AA10^3+$Y$4*AA10^4+$Z$4*AA10^5</f>
        <v>2.8598398731677634</v>
      </c>
      <c r="AD10" s="425">
        <f>$AA$4+$AB$4*AA10+$AC$4*AA10^2+$AD$4*AA10^3+$AE$4*AA10^4+$AF$4*AA10^5</f>
        <v>3.8849567373818363</v>
      </c>
    </row>
    <row r="11" spans="1:57" s="319" customFormat="1" x14ac:dyDescent="0.25">
      <c r="A11" s="313">
        <f>$C$3</f>
        <v>500</v>
      </c>
      <c r="B11" s="314">
        <f t="shared" si="0"/>
        <v>52.245569806781255</v>
      </c>
      <c r="C11" s="315">
        <f t="shared" si="1"/>
        <v>2.7212485692937505</v>
      </c>
      <c r="D11" s="316">
        <f t="shared" ref="D11:D19" si="3">0.95*A11</f>
        <v>475</v>
      </c>
      <c r="E11" s="314">
        <f t="shared" ref="E11:E19" si="4">($O$3+$P$3*D11+$Q$3*D11^2+$R$3*D11^3+$S$3*D11^4+$T$3*D11^5)*1.05</f>
        <v>54.956140493918511</v>
      </c>
      <c r="F11" s="317">
        <f t="shared" ref="F11:F19" si="5">1.05*A11</f>
        <v>525</v>
      </c>
      <c r="G11" s="314">
        <f t="shared" ref="G11:G19" si="6">($O$3+$P$3*F11+$Q$3*F11^2+$R$3*F11^3+$S$3*F11^4+$T$3*F11^5)*0.95</f>
        <v>49.545116731677162</v>
      </c>
      <c r="H11" s="314">
        <f t="shared" ref="H11:H19" si="7">C11*0.92</f>
        <v>2.5035486837502505</v>
      </c>
      <c r="I11" s="315">
        <f t="shared" ref="I11:I19" si="8">1.08*C11</f>
        <v>2.9389484548372509</v>
      </c>
      <c r="J11" s="491" t="s">
        <v>96</v>
      </c>
      <c r="K11" s="489"/>
      <c r="L11" s="489"/>
      <c r="M11" s="489"/>
      <c r="N11" s="318"/>
      <c r="Q11" s="320"/>
      <c r="R11" s="320"/>
      <c r="S11" s="320"/>
      <c r="T11" s="320"/>
      <c r="AA11" s="307">
        <f t="shared" si="2"/>
        <v>500</v>
      </c>
      <c r="AB11" s="308">
        <f t="shared" ref="AB11:AB21" si="9">$O$4+$P$4*A11+$Q$4*A11^2+$R$4*A11^3+$S$4*A11^4+$T$4*A11^5</f>
        <v>55.549834901312501</v>
      </c>
      <c r="AC11" s="312">
        <f t="shared" ref="AC11:AC21" si="10">$U$4+$V$4*AA11+$W$4*AA11^2+$X$4*AA11^3+$Y$4*AA11^4+$Z$4*AA11^5</f>
        <v>2.8866248946184374</v>
      </c>
      <c r="AD11" s="425">
        <f t="shared" ref="AD11:AD21" si="11">$AA$4+$AB$4*AA11+$AC$4*AA11^2+$AD$4*AA11^3+$AE$4*AA11^4+$AF$4*AA11^5</f>
        <v>7.4926299287187508</v>
      </c>
      <c r="AE11" s="318"/>
      <c r="AF11" s="318"/>
      <c r="AG11" s="318"/>
      <c r="AH11" s="318"/>
      <c r="AI11" s="318"/>
      <c r="AJ11" s="318"/>
      <c r="AK11" s="318"/>
      <c r="AL11" s="318"/>
      <c r="AM11" s="318"/>
      <c r="AN11" s="318"/>
      <c r="AO11" s="318"/>
      <c r="AP11" s="318"/>
      <c r="AQ11" s="318"/>
      <c r="AR11" s="318"/>
      <c r="AS11" s="318"/>
      <c r="AT11" s="318"/>
      <c r="AU11" s="318"/>
      <c r="AV11" s="318"/>
      <c r="AW11" s="318"/>
      <c r="AX11" s="318"/>
      <c r="AY11" s="318"/>
      <c r="AZ11" s="318"/>
      <c r="BA11" s="318"/>
      <c r="BB11" s="318"/>
      <c r="BC11" s="318"/>
      <c r="BD11" s="318"/>
      <c r="BE11" s="318"/>
    </row>
    <row r="12" spans="1:57" x14ac:dyDescent="0.25">
      <c r="A12" s="307">
        <f>(A11+A13)/2</f>
        <v>2275</v>
      </c>
      <c r="B12" s="308">
        <f t="shared" si="0"/>
        <v>46.598216124680064</v>
      </c>
      <c r="C12" s="309">
        <f t="shared" si="1"/>
        <v>2.5884125314547242</v>
      </c>
      <c r="D12" s="307">
        <f t="shared" si="3"/>
        <v>2161.25</v>
      </c>
      <c r="E12" s="308">
        <f t="shared" si="4"/>
        <v>49.294480775551101</v>
      </c>
      <c r="F12" s="310">
        <f t="shared" si="5"/>
        <v>2388.75</v>
      </c>
      <c r="G12" s="308">
        <f t="shared" si="6"/>
        <v>43.933824081786462</v>
      </c>
      <c r="H12" s="308">
        <f t="shared" si="7"/>
        <v>2.3813395289383466</v>
      </c>
      <c r="I12" s="309">
        <f t="shared" si="8"/>
        <v>2.7954855339711022</v>
      </c>
      <c r="J12" s="321">
        <f>A15</f>
        <v>7600</v>
      </c>
      <c r="K12" s="318">
        <v>0</v>
      </c>
      <c r="L12" s="318">
        <v>0</v>
      </c>
      <c r="M12" s="318">
        <v>0</v>
      </c>
      <c r="N12" s="318"/>
      <c r="AA12" s="307">
        <f t="shared" si="2"/>
        <v>2275</v>
      </c>
      <c r="AB12" s="308">
        <f t="shared" si="9"/>
        <v>47.073785384975046</v>
      </c>
      <c r="AC12" s="312">
        <f t="shared" si="10"/>
        <v>2.9198156570568128</v>
      </c>
      <c r="AD12" s="425">
        <f t="shared" si="11"/>
        <v>26.943121119263353</v>
      </c>
      <c r="AE12" s="318"/>
      <c r="AF12" s="318"/>
      <c r="AG12" s="318"/>
      <c r="AH12" s="318"/>
      <c r="AI12" s="318"/>
      <c r="AJ12" s="318"/>
      <c r="AK12" s="318"/>
      <c r="AL12" s="318"/>
      <c r="AM12" s="318"/>
      <c r="AN12" s="318"/>
      <c r="AO12" s="318"/>
      <c r="AP12" s="318"/>
      <c r="AQ12" s="318"/>
      <c r="AR12" s="318"/>
      <c r="AS12" s="318"/>
      <c r="AT12" s="318"/>
      <c r="AU12" s="318"/>
      <c r="AV12" s="318"/>
      <c r="AW12" s="318"/>
      <c r="AX12" s="318"/>
      <c r="AY12" s="318"/>
      <c r="AZ12" s="318"/>
      <c r="BA12" s="318"/>
      <c r="BB12" s="318"/>
      <c r="BC12" s="318"/>
      <c r="BD12" s="318"/>
      <c r="BE12" s="318"/>
    </row>
    <row r="13" spans="1:57" x14ac:dyDescent="0.25">
      <c r="A13" s="307">
        <f>(A11+A15)/2</f>
        <v>4050</v>
      </c>
      <c r="B13" s="308">
        <f t="shared" si="0"/>
        <v>40.537465397409534</v>
      </c>
      <c r="C13" s="309">
        <f t="shared" si="1"/>
        <v>2.5398848447232392</v>
      </c>
      <c r="D13" s="307">
        <f t="shared" si="3"/>
        <v>3847.5</v>
      </c>
      <c r="E13" s="308">
        <f t="shared" si="4"/>
        <v>43.360902274433364</v>
      </c>
      <c r="F13" s="310">
        <f t="shared" si="5"/>
        <v>4252.5</v>
      </c>
      <c r="G13" s="308">
        <f t="shared" si="6"/>
        <v>37.774785601973889</v>
      </c>
      <c r="H13" s="308">
        <f t="shared" si="7"/>
        <v>2.33669405714538</v>
      </c>
      <c r="I13" s="309">
        <f t="shared" si="8"/>
        <v>2.7430756323010983</v>
      </c>
      <c r="J13" s="321">
        <f>A15</f>
        <v>7600</v>
      </c>
      <c r="K13" s="318">
        <v>60</v>
      </c>
      <c r="L13" s="318">
        <v>3.5</v>
      </c>
      <c r="M13" s="318">
        <v>70</v>
      </c>
      <c r="N13" s="318"/>
      <c r="AA13" s="307">
        <f t="shared" si="2"/>
        <v>4050</v>
      </c>
      <c r="AB13" s="308">
        <f t="shared" si="9"/>
        <v>35.710594502449737</v>
      </c>
      <c r="AC13" s="312">
        <f t="shared" si="10"/>
        <v>2.7836878883631275</v>
      </c>
      <c r="AD13" s="425">
        <f t="shared" si="11"/>
        <v>38.365410167951239</v>
      </c>
      <c r="AE13" s="318"/>
      <c r="AF13" s="318"/>
      <c r="AG13" s="318"/>
      <c r="AH13" s="318"/>
      <c r="AI13" s="318"/>
      <c r="AJ13" s="318"/>
      <c r="AK13" s="318"/>
      <c r="AL13" s="318"/>
      <c r="AM13" s="318"/>
      <c r="AN13" s="318"/>
      <c r="AO13" s="318"/>
      <c r="AP13" s="318"/>
      <c r="AQ13" s="318"/>
      <c r="AR13" s="318"/>
      <c r="AS13" s="318"/>
      <c r="AT13" s="318"/>
      <c r="AU13" s="318"/>
      <c r="AV13" s="318"/>
      <c r="AW13" s="318"/>
      <c r="AX13" s="318"/>
      <c r="AY13" s="318"/>
      <c r="AZ13" s="318"/>
      <c r="BA13" s="318"/>
      <c r="BB13" s="318"/>
      <c r="BC13" s="318"/>
      <c r="BD13" s="318"/>
      <c r="BE13" s="318"/>
    </row>
    <row r="14" spans="1:57" x14ac:dyDescent="0.25">
      <c r="A14" s="307">
        <f>(A13+A15)/2</f>
        <v>5825</v>
      </c>
      <c r="B14" s="308">
        <f t="shared" si="0"/>
        <v>33.399631371634094</v>
      </c>
      <c r="C14" s="309">
        <f t="shared" si="1"/>
        <v>2.4580554235397249</v>
      </c>
      <c r="D14" s="307">
        <f t="shared" si="3"/>
        <v>5533.75</v>
      </c>
      <c r="E14" s="308">
        <f t="shared" si="4"/>
        <v>36.332462867010086</v>
      </c>
      <c r="F14" s="310">
        <f t="shared" si="5"/>
        <v>6116.25</v>
      </c>
      <c r="G14" s="308">
        <f t="shared" si="6"/>
        <v>30.589236341325019</v>
      </c>
      <c r="H14" s="308">
        <f t="shared" si="7"/>
        <v>2.2614109896565471</v>
      </c>
      <c r="I14" s="309">
        <f t="shared" si="8"/>
        <v>2.6546998574229033</v>
      </c>
      <c r="J14" s="491" t="s">
        <v>99</v>
      </c>
      <c r="K14" s="489"/>
      <c r="L14" s="489"/>
      <c r="M14" s="489"/>
      <c r="N14" s="318"/>
      <c r="AA14" s="307">
        <f t="shared" si="2"/>
        <v>5825</v>
      </c>
      <c r="AB14" s="308">
        <f t="shared" si="9"/>
        <v>27.815463777769857</v>
      </c>
      <c r="AC14" s="312">
        <f t="shared" si="10"/>
        <v>2.6868232072573641</v>
      </c>
      <c r="AD14" s="425">
        <f t="shared" si="11"/>
        <v>44.540327376631247</v>
      </c>
      <c r="AE14" s="318"/>
      <c r="AF14" s="318"/>
      <c r="AG14" s="318"/>
      <c r="AH14" s="318"/>
      <c r="AI14" s="318"/>
      <c r="AJ14" s="318"/>
      <c r="AK14" s="318"/>
      <c r="AL14" s="318"/>
      <c r="AM14" s="318"/>
      <c r="AN14" s="318"/>
      <c r="AO14" s="318"/>
      <c r="AP14" s="318"/>
      <c r="AQ14" s="318"/>
      <c r="AR14" s="318"/>
      <c r="AS14" s="318"/>
      <c r="AT14" s="318"/>
      <c r="AU14" s="318"/>
      <c r="AV14" s="318"/>
      <c r="AW14" s="318"/>
      <c r="AX14" s="318"/>
      <c r="AY14" s="318"/>
      <c r="AZ14" s="318"/>
      <c r="BA14" s="318"/>
      <c r="BB14" s="318"/>
      <c r="BC14" s="318"/>
      <c r="BD14" s="318"/>
      <c r="BE14" s="318"/>
    </row>
    <row r="15" spans="1:57" s="319" customFormat="1" x14ac:dyDescent="0.25">
      <c r="A15" s="313">
        <f>$F$3</f>
        <v>7600</v>
      </c>
      <c r="B15" s="314">
        <f t="shared" si="0"/>
        <v>26.279702160517104</v>
      </c>
      <c r="C15" s="315">
        <f t="shared" si="1"/>
        <v>2.3771875742807049</v>
      </c>
      <c r="D15" s="316">
        <f t="shared" si="3"/>
        <v>7220</v>
      </c>
      <c r="E15" s="314">
        <f t="shared" si="4"/>
        <v>29.142190385995498</v>
      </c>
      <c r="F15" s="317">
        <f t="shared" si="5"/>
        <v>7980</v>
      </c>
      <c r="G15" s="314">
        <f t="shared" si="6"/>
        <v>23.589097694949103</v>
      </c>
      <c r="H15" s="314">
        <f t="shared" si="7"/>
        <v>2.1870125683382486</v>
      </c>
      <c r="I15" s="315">
        <f t="shared" si="8"/>
        <v>2.5673625802231617</v>
      </c>
      <c r="J15" s="321">
        <f>A19</f>
        <v>11000</v>
      </c>
      <c r="K15" s="318">
        <v>0</v>
      </c>
      <c r="L15" s="318">
        <v>0</v>
      </c>
      <c r="M15" s="318">
        <v>0</v>
      </c>
      <c r="N15" s="318"/>
      <c r="Q15" s="320"/>
      <c r="R15" s="320"/>
      <c r="S15" s="320"/>
      <c r="T15" s="320"/>
      <c r="AA15" s="307">
        <f t="shared" si="2"/>
        <v>7600</v>
      </c>
      <c r="AB15" s="308">
        <f t="shared" si="9"/>
        <v>21.108611150597142</v>
      </c>
      <c r="AC15" s="312">
        <f t="shared" si="10"/>
        <v>2.7410720997602307</v>
      </c>
      <c r="AD15" s="425">
        <f t="shared" si="11"/>
        <v>43.13951378781185</v>
      </c>
      <c r="AE15" s="318"/>
      <c r="AF15" s="318"/>
      <c r="AG15" s="318"/>
      <c r="AH15" s="318"/>
      <c r="AI15" s="318"/>
      <c r="AJ15" s="318"/>
      <c r="AK15" s="318"/>
      <c r="AL15" s="318"/>
      <c r="AM15" s="318"/>
      <c r="AN15" s="318"/>
      <c r="AO15" s="318"/>
      <c r="AP15" s="318"/>
      <c r="AQ15" s="318"/>
      <c r="AR15" s="318"/>
      <c r="AS15" s="318"/>
      <c r="AT15" s="318"/>
      <c r="AU15" s="318"/>
      <c r="AV15" s="318"/>
      <c r="AW15" s="318"/>
      <c r="AX15" s="318"/>
      <c r="AY15" s="318"/>
      <c r="AZ15" s="318"/>
      <c r="BA15" s="318"/>
      <c r="BB15" s="318"/>
      <c r="BC15" s="318"/>
      <c r="BD15" s="318"/>
      <c r="BE15" s="318"/>
    </row>
    <row r="16" spans="1:57" x14ac:dyDescent="0.25">
      <c r="A16" s="307">
        <f>(A15+A17)/2</f>
        <v>8450</v>
      </c>
      <c r="B16" s="308">
        <f t="shared" si="0"/>
        <v>23.055908562691634</v>
      </c>
      <c r="C16" s="309">
        <f t="shared" si="1"/>
        <v>2.3464532565127567</v>
      </c>
      <c r="D16" s="307">
        <f t="shared" si="3"/>
        <v>8027.5</v>
      </c>
      <c r="E16" s="308">
        <f t="shared" si="4"/>
        <v>25.883351678633328</v>
      </c>
      <c r="F16" s="310">
        <f t="shared" si="5"/>
        <v>8872.5</v>
      </c>
      <c r="G16" s="308">
        <f t="shared" si="6"/>
        <v>20.373858005058374</v>
      </c>
      <c r="H16" s="308">
        <f t="shared" si="7"/>
        <v>2.1587369959917364</v>
      </c>
      <c r="I16" s="309">
        <f t="shared" si="8"/>
        <v>2.5341695170337775</v>
      </c>
      <c r="J16" s="321">
        <f>A19</f>
        <v>11000</v>
      </c>
      <c r="K16" s="318">
        <v>60</v>
      </c>
      <c r="L16" s="318">
        <v>3.5</v>
      </c>
      <c r="M16" s="318">
        <v>70</v>
      </c>
      <c r="N16" s="318"/>
      <c r="AA16" s="307">
        <f t="shared" si="2"/>
        <v>8450</v>
      </c>
      <c r="AB16" s="308">
        <f t="shared" si="9"/>
        <v>16.425653627887826</v>
      </c>
      <c r="AC16" s="312">
        <f t="shared" si="10"/>
        <v>2.7809432250971549</v>
      </c>
      <c r="AD16" s="425">
        <f t="shared" si="11"/>
        <v>36.788234694086555</v>
      </c>
      <c r="AE16" s="318"/>
      <c r="AF16" s="318"/>
      <c r="AG16" s="318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8"/>
      <c r="AX16" s="318"/>
      <c r="AY16" s="318"/>
      <c r="AZ16" s="318"/>
      <c r="BA16" s="318"/>
      <c r="BB16" s="318"/>
      <c r="BC16" s="318"/>
      <c r="BD16" s="318"/>
      <c r="BE16" s="318"/>
    </row>
    <row r="17" spans="1:57" x14ac:dyDescent="0.25">
      <c r="A17" s="307">
        <f>(A15+A19)/2</f>
        <v>9300</v>
      </c>
      <c r="B17" s="308">
        <f t="shared" si="0"/>
        <v>19.756738027207419</v>
      </c>
      <c r="C17" s="309">
        <f t="shared" si="1"/>
        <v>2.308011977164421</v>
      </c>
      <c r="D17" s="307">
        <f t="shared" si="3"/>
        <v>8835</v>
      </c>
      <c r="E17" s="308">
        <f t="shared" si="4"/>
        <v>22.670211021019703</v>
      </c>
      <c r="F17" s="310">
        <f t="shared" si="5"/>
        <v>9765</v>
      </c>
      <c r="G17" s="308">
        <f t="shared" si="6"/>
        <v>16.886386393688504</v>
      </c>
      <c r="H17" s="308">
        <f t="shared" si="7"/>
        <v>2.1233710189912673</v>
      </c>
      <c r="I17" s="309">
        <f t="shared" si="8"/>
        <v>2.4926529353375746</v>
      </c>
      <c r="J17" s="318"/>
      <c r="K17" s="318"/>
      <c r="L17" s="318"/>
      <c r="M17" s="318"/>
      <c r="N17" s="318"/>
      <c r="AA17" s="307">
        <f t="shared" si="2"/>
        <v>9300</v>
      </c>
      <c r="AB17" s="308">
        <f t="shared" si="9"/>
        <v>9.663166424328665</v>
      </c>
      <c r="AC17" s="312">
        <f t="shared" si="10"/>
        <v>2.7597513937590046</v>
      </c>
      <c r="AD17" s="425">
        <f t="shared" si="11"/>
        <v>23.826781799237864</v>
      </c>
      <c r="AE17" s="318"/>
      <c r="AF17" s="318"/>
      <c r="AG17" s="318"/>
      <c r="AH17" s="318"/>
      <c r="AI17" s="318"/>
      <c r="AJ17" s="318"/>
      <c r="AK17" s="318"/>
      <c r="AL17" s="318"/>
      <c r="AM17" s="318"/>
      <c r="AN17" s="318"/>
      <c r="AO17" s="318"/>
      <c r="AP17" s="318"/>
      <c r="AQ17" s="318"/>
      <c r="AR17" s="318"/>
      <c r="AS17" s="318"/>
      <c r="AT17" s="318"/>
      <c r="AU17" s="318"/>
      <c r="AV17" s="318"/>
      <c r="AW17" s="318"/>
      <c r="AX17" s="318"/>
      <c r="AY17" s="318"/>
      <c r="AZ17" s="318"/>
      <c r="BA17" s="318"/>
      <c r="BB17" s="318"/>
      <c r="BC17" s="318"/>
      <c r="BD17" s="318"/>
      <c r="BE17" s="318"/>
    </row>
    <row r="18" spans="1:57" x14ac:dyDescent="0.25">
      <c r="A18" s="307">
        <f>(A17+A19)/2</f>
        <v>10150</v>
      </c>
      <c r="B18" s="308">
        <f t="shared" si="0"/>
        <v>15.946139712867335</v>
      </c>
      <c r="C18" s="309">
        <f t="shared" si="1"/>
        <v>2.2339832894354554</v>
      </c>
      <c r="D18" s="307">
        <f t="shared" si="3"/>
        <v>9642.5</v>
      </c>
      <c r="E18" s="308">
        <f t="shared" si="4"/>
        <v>19.232937014906632</v>
      </c>
      <c r="F18" s="310">
        <f t="shared" si="5"/>
        <v>10657.5</v>
      </c>
      <c r="G18" s="308">
        <f t="shared" si="6"/>
        <v>12.477690658235751</v>
      </c>
      <c r="H18" s="308">
        <f t="shared" si="7"/>
        <v>2.0552646262806191</v>
      </c>
      <c r="I18" s="309">
        <f t="shared" si="8"/>
        <v>2.4127019525902922</v>
      </c>
      <c r="J18" s="318"/>
      <c r="K18" s="318"/>
      <c r="L18" s="318"/>
      <c r="M18" s="318"/>
      <c r="N18" s="318"/>
      <c r="AA18" s="307">
        <f t="shared" si="2"/>
        <v>10150</v>
      </c>
      <c r="AB18" s="308">
        <f t="shared" si="9"/>
        <v>9.4328034895823976E-2</v>
      </c>
      <c r="AC18" s="312">
        <f t="shared" si="10"/>
        <v>2.5863548884430276</v>
      </c>
      <c r="AD18" s="425">
        <f t="shared" si="11"/>
        <v>1.0538681326821688</v>
      </c>
      <c r="AE18" s="318"/>
      <c r="AF18" s="318"/>
      <c r="AG18" s="318"/>
      <c r="AH18" s="318"/>
      <c r="AI18" s="318"/>
      <c r="AJ18" s="318"/>
      <c r="AK18" s="318"/>
      <c r="AL18" s="318"/>
      <c r="AM18" s="318"/>
      <c r="AN18" s="318"/>
      <c r="AO18" s="318"/>
      <c r="AP18" s="318"/>
      <c r="AQ18" s="318"/>
      <c r="AR18" s="318"/>
      <c r="AS18" s="318"/>
      <c r="AT18" s="318"/>
      <c r="AU18" s="318"/>
      <c r="AV18" s="318"/>
      <c r="AW18" s="318"/>
      <c r="AX18" s="318"/>
      <c r="AY18" s="318"/>
      <c r="AZ18" s="318"/>
      <c r="BA18" s="318"/>
      <c r="BB18" s="318"/>
      <c r="BC18" s="318"/>
      <c r="BD18" s="318"/>
      <c r="BE18" s="318"/>
    </row>
    <row r="19" spans="1:57" s="319" customFormat="1" x14ac:dyDescent="0.25">
      <c r="A19" s="313">
        <f>$J$3</f>
        <v>11000</v>
      </c>
      <c r="B19" s="314">
        <f t="shared" si="0"/>
        <v>10.878983427000009</v>
      </c>
      <c r="C19" s="315">
        <f t="shared" si="1"/>
        <v>2.0764822614000007</v>
      </c>
      <c r="D19" s="316">
        <f t="shared" si="3"/>
        <v>10450</v>
      </c>
      <c r="E19" s="314">
        <f t="shared" si="4"/>
        <v>15.06778191805973</v>
      </c>
      <c r="F19" s="317">
        <f t="shared" si="5"/>
        <v>11550</v>
      </c>
      <c r="G19" s="314">
        <f t="shared" si="6"/>
        <v>6.100804721708883</v>
      </c>
      <c r="H19" s="314">
        <f t="shared" si="7"/>
        <v>1.9103636804880006</v>
      </c>
      <c r="I19" s="315">
        <f t="shared" si="8"/>
        <v>2.242600842312001</v>
      </c>
      <c r="J19" s="318"/>
      <c r="K19" s="318"/>
      <c r="L19" s="318"/>
      <c r="M19" s="318"/>
      <c r="N19" s="318"/>
      <c r="Q19" s="320"/>
      <c r="R19" s="320"/>
      <c r="S19" s="320"/>
      <c r="T19" s="320"/>
      <c r="AA19" s="307">
        <f t="shared" si="2"/>
        <v>11000</v>
      </c>
      <c r="AB19" s="308">
        <f t="shared" si="9"/>
        <v>-12.798271598000099</v>
      </c>
      <c r="AC19" s="312">
        <f t="shared" si="10"/>
        <v>2.1319583392899979</v>
      </c>
      <c r="AD19" s="425">
        <f t="shared" si="11"/>
        <v>-35.694125911000071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8"/>
      <c r="AV19" s="318"/>
      <c r="AW19" s="318"/>
      <c r="AX19" s="318"/>
      <c r="AY19" s="318"/>
      <c r="AZ19" s="318"/>
      <c r="BA19" s="318"/>
      <c r="BB19" s="318"/>
      <c r="BC19" s="318"/>
      <c r="BD19" s="318"/>
      <c r="BE19" s="318"/>
    </row>
    <row r="20" spans="1:57" x14ac:dyDescent="0.25">
      <c r="A20" s="307">
        <f>(A19+A21)/2</f>
        <v>11500</v>
      </c>
      <c r="B20" s="308">
        <f t="shared" si="0"/>
        <v>6.8777239709687876</v>
      </c>
      <c r="C20" s="309">
        <f t="shared" si="1"/>
        <v>1.9168084970062509</v>
      </c>
      <c r="D20" s="307"/>
      <c r="E20" s="308"/>
      <c r="F20" s="310"/>
      <c r="G20" s="308"/>
      <c r="H20" s="310"/>
      <c r="I20" s="311"/>
      <c r="AA20" s="307">
        <f t="shared" si="2"/>
        <v>11500</v>
      </c>
      <c r="AB20" s="308">
        <f t="shared" si="9"/>
        <v>-22.031952429812463</v>
      </c>
      <c r="AC20" s="312">
        <f t="shared" si="10"/>
        <v>1.6661351118740626</v>
      </c>
      <c r="AD20" s="425">
        <f t="shared" si="11"/>
        <v>-65.901901034468779</v>
      </c>
    </row>
    <row r="21" spans="1:57" ht="13.2" thickBot="1" x14ac:dyDescent="0.3">
      <c r="A21" s="322">
        <f>$N$3</f>
        <v>12000</v>
      </c>
      <c r="B21" s="323">
        <f t="shared" si="0"/>
        <v>1.7660538239999255</v>
      </c>
      <c r="C21" s="324">
        <f t="shared" si="1"/>
        <v>1.6844520287999956</v>
      </c>
      <c r="D21" s="322"/>
      <c r="E21" s="323"/>
      <c r="F21" s="325"/>
      <c r="G21" s="323"/>
      <c r="H21" s="325"/>
      <c r="I21" s="326"/>
      <c r="AA21" s="322">
        <f t="shared" si="2"/>
        <v>12000</v>
      </c>
      <c r="AB21" s="323">
        <f t="shared" si="9"/>
        <v>-32.46895137599995</v>
      </c>
      <c r="AC21" s="327">
        <f t="shared" si="10"/>
        <v>1.002001897279996</v>
      </c>
      <c r="AD21" s="426">
        <f t="shared" si="11"/>
        <v>-103.98982643200003</v>
      </c>
    </row>
    <row r="49" spans="1:32" ht="13.2" x14ac:dyDescent="0.25">
      <c r="X49" s="507"/>
      <c r="Y49" s="507"/>
    </row>
    <row r="50" spans="1:32" ht="13.2" thickBot="1" x14ac:dyDescent="0.3">
      <c r="X50" s="328"/>
      <c r="Y50" s="329"/>
    </row>
    <row r="51" spans="1:32" ht="13.2" thickBot="1" x14ac:dyDescent="0.3">
      <c r="A51" s="508" t="s">
        <v>164</v>
      </c>
      <c r="B51" s="509"/>
      <c r="C51" s="509"/>
      <c r="D51" s="509"/>
      <c r="E51" s="509"/>
      <c r="F51" s="509"/>
      <c r="G51" s="509"/>
      <c r="H51" s="509"/>
      <c r="I51" s="509"/>
      <c r="J51" s="509"/>
      <c r="K51" s="509"/>
      <c r="L51" s="510"/>
      <c r="M51" s="279"/>
      <c r="X51" s="328"/>
      <c r="Y51" s="329"/>
    </row>
    <row r="52" spans="1:32" x14ac:dyDescent="0.25">
      <c r="A52" s="330" t="s">
        <v>2</v>
      </c>
      <c r="B52" s="331" t="s">
        <v>3</v>
      </c>
      <c r="C52" s="331" t="s">
        <v>4</v>
      </c>
      <c r="D52" s="331" t="s">
        <v>5</v>
      </c>
      <c r="E52" s="331" t="s">
        <v>6</v>
      </c>
      <c r="F52" s="423" t="s">
        <v>7</v>
      </c>
      <c r="G52" s="330" t="s">
        <v>8</v>
      </c>
      <c r="H52" s="331" t="s">
        <v>9</v>
      </c>
      <c r="I52" s="331" t="s">
        <v>10</v>
      </c>
      <c r="J52" s="331" t="s">
        <v>11</v>
      </c>
      <c r="K52" s="331" t="s">
        <v>12</v>
      </c>
      <c r="L52" s="332" t="s">
        <v>13</v>
      </c>
      <c r="M52" s="333"/>
      <c r="X52" s="328"/>
      <c r="Y52" s="329"/>
    </row>
    <row r="53" spans="1:32" ht="15" customHeight="1" x14ac:dyDescent="0.25">
      <c r="A53" s="3">
        <v>28.496189999999999</v>
      </c>
      <c r="B53" s="3">
        <v>3.9061429999999999E-3</v>
      </c>
      <c r="C53" s="3">
        <v>-1.6927030000000001E-5</v>
      </c>
      <c r="D53" s="3">
        <v>9.5572170000000005E-9</v>
      </c>
      <c r="E53" s="3">
        <v>-2.179413E-12</v>
      </c>
      <c r="F53" s="3">
        <v>1.7357120000000001E-16</v>
      </c>
      <c r="G53" s="3">
        <v>1.0355319999999999</v>
      </c>
      <c r="H53" s="3">
        <v>-3.0581489999999999E-4</v>
      </c>
      <c r="I53" s="3">
        <v>3.3128649999999999E-8</v>
      </c>
      <c r="J53" s="3">
        <v>1.368993E-11</v>
      </c>
      <c r="K53" s="3">
        <v>-2.6339159999999999E-15</v>
      </c>
      <c r="L53" s="3">
        <v>0</v>
      </c>
      <c r="M53" s="334"/>
      <c r="X53" s="328"/>
      <c r="Y53" s="329"/>
    </row>
    <row r="54" spans="1:32" x14ac:dyDescent="0.25">
      <c r="X54" s="335"/>
      <c r="Y54" s="329"/>
    </row>
    <row r="55" spans="1:32" ht="13.2" thickBot="1" x14ac:dyDescent="0.3"/>
    <row r="56" spans="1:32" ht="13.2" thickBot="1" x14ac:dyDescent="0.3">
      <c r="A56" s="511" t="s">
        <v>150</v>
      </c>
      <c r="B56" s="512"/>
      <c r="C56" s="336">
        <v>1</v>
      </c>
      <c r="D56" s="513" t="s">
        <v>149</v>
      </c>
      <c r="E56" s="514"/>
      <c r="F56" s="514"/>
      <c r="G56" s="336">
        <v>21</v>
      </c>
      <c r="H56" s="495" t="s">
        <v>198</v>
      </c>
      <c r="I56" s="500"/>
      <c r="J56" s="500"/>
      <c r="K56" s="497"/>
      <c r="L56" s="497"/>
      <c r="M56" s="497"/>
      <c r="N56" s="497"/>
      <c r="O56" s="497"/>
      <c r="P56" s="498"/>
      <c r="Q56" s="515" t="s">
        <v>76</v>
      </c>
      <c r="R56" s="516"/>
      <c r="S56" s="517"/>
      <c r="T56" s="495" t="s">
        <v>197</v>
      </c>
      <c r="U56" s="500"/>
      <c r="V56" s="500"/>
      <c r="W56" s="499"/>
      <c r="AA56" s="280"/>
      <c r="AB56" s="280"/>
      <c r="AC56" s="280"/>
      <c r="AD56" s="280"/>
    </row>
    <row r="57" spans="1:32" ht="13.2" thickBot="1" x14ac:dyDescent="0.3">
      <c r="A57" s="492" t="s">
        <v>148</v>
      </c>
      <c r="B57" s="493"/>
      <c r="C57" s="493"/>
      <c r="D57" s="493"/>
      <c r="E57" s="493"/>
      <c r="F57" s="493"/>
      <c r="G57" s="494"/>
      <c r="H57" s="495" t="s">
        <v>87</v>
      </c>
      <c r="I57" s="496"/>
      <c r="J57" s="496"/>
      <c r="K57" s="497"/>
      <c r="L57" s="497"/>
      <c r="M57" s="497"/>
      <c r="N57" s="497"/>
      <c r="O57" s="497"/>
      <c r="P57" s="498"/>
      <c r="Q57" s="495" t="s">
        <v>87</v>
      </c>
      <c r="R57" s="496"/>
      <c r="S57" s="499"/>
      <c r="T57" s="495" t="s">
        <v>87</v>
      </c>
      <c r="U57" s="496"/>
      <c r="V57" s="496"/>
      <c r="W57" s="499"/>
      <c r="X57" s="495" t="s">
        <v>77</v>
      </c>
      <c r="Y57" s="500"/>
      <c r="Z57" s="500"/>
      <c r="AA57" s="500"/>
      <c r="AB57" s="501"/>
      <c r="AC57" s="280"/>
      <c r="AD57" s="280"/>
    </row>
    <row r="58" spans="1:32" x14ac:dyDescent="0.25">
      <c r="A58" s="298" t="s">
        <v>139</v>
      </c>
      <c r="B58" s="275" t="s">
        <v>70</v>
      </c>
      <c r="C58" s="275" t="s">
        <v>142</v>
      </c>
      <c r="D58" s="275" t="s">
        <v>144</v>
      </c>
      <c r="E58" s="337" t="s">
        <v>151</v>
      </c>
      <c r="F58" s="337" t="s">
        <v>146</v>
      </c>
      <c r="G58" s="292" t="s">
        <v>147</v>
      </c>
      <c r="H58" s="274" t="s">
        <v>153</v>
      </c>
      <c r="I58" s="337" t="s">
        <v>154</v>
      </c>
      <c r="J58" s="292" t="s">
        <v>155</v>
      </c>
      <c r="K58" s="274" t="s">
        <v>156</v>
      </c>
      <c r="L58" s="337" t="s">
        <v>157</v>
      </c>
      <c r="M58" s="338" t="s">
        <v>158</v>
      </c>
      <c r="N58" s="274" t="s">
        <v>160</v>
      </c>
      <c r="O58" s="337" t="s">
        <v>161</v>
      </c>
      <c r="P58" s="292" t="s">
        <v>162</v>
      </c>
      <c r="Q58" s="274" t="s">
        <v>70</v>
      </c>
      <c r="R58" s="275" t="s">
        <v>72</v>
      </c>
      <c r="S58" s="276" t="s">
        <v>74</v>
      </c>
      <c r="T58" s="274" t="s">
        <v>70</v>
      </c>
      <c r="U58" s="275" t="s">
        <v>72</v>
      </c>
      <c r="V58" s="275" t="s">
        <v>74</v>
      </c>
      <c r="W58" s="276" t="s">
        <v>93</v>
      </c>
      <c r="X58" s="339" t="s">
        <v>81</v>
      </c>
      <c r="Y58" s="340" t="s">
        <v>79</v>
      </c>
      <c r="Z58" s="340" t="s">
        <v>82</v>
      </c>
      <c r="AA58" s="341" t="s">
        <v>83</v>
      </c>
      <c r="AB58" s="342" t="s">
        <v>91</v>
      </c>
      <c r="AC58" s="502" t="s">
        <v>94</v>
      </c>
      <c r="AD58" s="503"/>
      <c r="AE58" s="504"/>
    </row>
    <row r="59" spans="1:32" ht="13.2" thickBot="1" x14ac:dyDescent="0.3">
      <c r="A59" s="293" t="s">
        <v>141</v>
      </c>
      <c r="B59" s="294" t="s">
        <v>140</v>
      </c>
      <c r="C59" s="294" t="s">
        <v>143</v>
      </c>
      <c r="D59" s="294" t="s">
        <v>145</v>
      </c>
      <c r="E59" s="343" t="s">
        <v>89</v>
      </c>
      <c r="F59" s="343" t="s">
        <v>89</v>
      </c>
      <c r="G59" s="326" t="s">
        <v>152</v>
      </c>
      <c r="H59" s="293" t="s">
        <v>71</v>
      </c>
      <c r="I59" s="343" t="s">
        <v>71</v>
      </c>
      <c r="J59" s="326" t="s">
        <v>163</v>
      </c>
      <c r="K59" s="293" t="s">
        <v>73</v>
      </c>
      <c r="L59" s="343" t="s">
        <v>73</v>
      </c>
      <c r="M59" s="344" t="s">
        <v>163</v>
      </c>
      <c r="N59" s="293" t="s">
        <v>159</v>
      </c>
      <c r="O59" s="343" t="s">
        <v>159</v>
      </c>
      <c r="P59" s="326" t="s">
        <v>163</v>
      </c>
      <c r="Q59" s="293" t="s">
        <v>71</v>
      </c>
      <c r="R59" s="294" t="s">
        <v>73</v>
      </c>
      <c r="S59" s="295" t="s">
        <v>75</v>
      </c>
      <c r="T59" s="293" t="s">
        <v>71</v>
      </c>
      <c r="U59" s="294" t="s">
        <v>73</v>
      </c>
      <c r="V59" s="294" t="s">
        <v>75</v>
      </c>
      <c r="W59" s="295" t="s">
        <v>92</v>
      </c>
      <c r="X59" s="345" t="s">
        <v>73</v>
      </c>
      <c r="Y59" s="294" t="s">
        <v>73</v>
      </c>
      <c r="Z59" s="294" t="s">
        <v>75</v>
      </c>
      <c r="AA59" s="296" t="s">
        <v>75</v>
      </c>
      <c r="AB59" s="346" t="s">
        <v>92</v>
      </c>
      <c r="AC59" s="293" t="s">
        <v>72</v>
      </c>
      <c r="AD59" s="294" t="s">
        <v>74</v>
      </c>
      <c r="AE59" s="295" t="s">
        <v>93</v>
      </c>
    </row>
    <row r="60" spans="1:32" x14ac:dyDescent="0.25">
      <c r="A60" s="347">
        <v>1.4330000000000001</v>
      </c>
      <c r="B60" s="348">
        <v>2.59</v>
      </c>
      <c r="C60" s="349">
        <v>2995.1</v>
      </c>
      <c r="D60" s="348">
        <v>32.229999999999997</v>
      </c>
      <c r="E60" s="350">
        <f>ROUND(C60*D60/9549,3)</f>
        <v>10.109</v>
      </c>
      <c r="F60" s="351">
        <v>10.105</v>
      </c>
      <c r="G60" s="352" t="str">
        <f>IF(OR(E60-F60&gt;0.001*F60,E60-F60&lt;(-0.001)*F60),"ALARM","OK")</f>
        <v>OK</v>
      </c>
      <c r="H60" s="353">
        <f>ROUNDUP((B60*6.28981)*(3500/C60),1)</f>
        <v>19.100000000000001</v>
      </c>
      <c r="I60" s="354">
        <v>19.05</v>
      </c>
      <c r="J60" s="355" t="str">
        <f>IF(OR(H60-I60&gt;0.005*I60,H60-I60&lt;(-0.005)*I60),"ALARM","OK")</f>
        <v>OK</v>
      </c>
      <c r="K60" s="356">
        <f>ROUNDUP(((A60-0.13)*(1000/9.81)*$C$56*3.28/$G$56)*(3500/C60)^2,2)</f>
        <v>28.330000000000002</v>
      </c>
      <c r="L60" s="348">
        <f>L73/$G$56</f>
        <v>28.564285714285717</v>
      </c>
      <c r="M60" s="357" t="str">
        <f t="shared" ref="M60:M70" si="12">IF(OR(K60-L60&gt;0.005*L60,K60-L60&lt;(-0.005)*L60),"ALARM","OK")</f>
        <v>ALARM</v>
      </c>
      <c r="N60" s="358">
        <f>ROUNDUP((F60/(0.746*$G$56))*(3500/C60)^3,3)</f>
        <v>1.0299999999999998</v>
      </c>
      <c r="O60" s="348">
        <f>O73/$G$56</f>
        <v>1.0297619047619047</v>
      </c>
      <c r="P60" s="352" t="str">
        <f t="shared" ref="P60:P70" si="13">IF(OR(N60-O60&gt;0.005*O60,N60-O60&lt;(-0.005)*O60),"ALARM","OK")</f>
        <v>OK</v>
      </c>
      <c r="Q60" s="298">
        <v>0</v>
      </c>
      <c r="R60" s="299">
        <f>B9</f>
        <v>54.3</v>
      </c>
      <c r="S60" s="300">
        <f>C9</f>
        <v>2.8245</v>
      </c>
      <c r="T60" s="298">
        <v>0</v>
      </c>
      <c r="U60" s="299">
        <f>A53</f>
        <v>28.496189999999999</v>
      </c>
      <c r="V60" s="299">
        <f>G53</f>
        <v>1.0355319999999999</v>
      </c>
      <c r="W60" s="359"/>
      <c r="X60" s="360"/>
      <c r="Y60" s="361"/>
      <c r="Z60" s="361"/>
      <c r="AA60" s="362"/>
      <c r="AB60" s="363"/>
      <c r="AC60" s="364"/>
      <c r="AD60" s="365"/>
      <c r="AE60" s="366"/>
    </row>
    <row r="61" spans="1:32" x14ac:dyDescent="0.25">
      <c r="A61" s="367">
        <v>0.89500000000000002</v>
      </c>
      <c r="B61" s="368">
        <v>241.38</v>
      </c>
      <c r="C61" s="369">
        <v>2997.3</v>
      </c>
      <c r="D61" s="368">
        <v>20.23</v>
      </c>
      <c r="E61" s="370">
        <f t="shared" ref="E61:E70" si="14">ROUND(C61*D61/9549,3)</f>
        <v>6.35</v>
      </c>
      <c r="F61" s="371">
        <v>6.3490000000000002</v>
      </c>
      <c r="G61" s="372" t="str">
        <f t="shared" ref="G61:G70" si="15">IF(OR(E61-F61&gt;0.001*F61,E61-F61&lt;(-0.001)*F61),"ALARM","OK")</f>
        <v>OK</v>
      </c>
      <c r="H61" s="373">
        <f t="shared" ref="H61:H70" si="16">ROUNDUP((B61*6.28981)*(3500/C61),1)</f>
        <v>1772.8999999999999</v>
      </c>
      <c r="I61" s="368">
        <v>1772.89</v>
      </c>
      <c r="J61" s="372" t="str">
        <f t="shared" ref="J61:J70" si="17">IF(OR(H61-I61&gt;0.005*I61,H61-I61&lt;(-0.005)*I61),"ALARM","OK")</f>
        <v>OK</v>
      </c>
      <c r="K61" s="356">
        <f t="shared" ref="K61:K70" si="18">ROUNDUP(((A61-0.13)*(1000/9.81)*$C$56*3.28/$G$56)*(3500/C61)^2,2)</f>
        <v>16.610000000000003</v>
      </c>
      <c r="L61" s="348">
        <f t="shared" ref="L61:L67" si="19">L74/$G$56</f>
        <v>17.007142857142856</v>
      </c>
      <c r="M61" s="374" t="str">
        <f t="shared" si="12"/>
        <v>ALARM</v>
      </c>
      <c r="N61" s="375">
        <f t="shared" ref="N61:N70" si="20">ROUNDUP((F61/(0.746*$G$56))*(3500/C61)^3,3)</f>
        <v>0.64600000000000002</v>
      </c>
      <c r="O61" s="348">
        <f t="shared" ref="O61:O67" si="21">O74/$G$56</f>
        <v>0.6455238095238095</v>
      </c>
      <c r="P61" s="372" t="str">
        <f t="shared" si="13"/>
        <v>OK</v>
      </c>
      <c r="Q61" s="307">
        <f>(Q60+Q62)/2</f>
        <v>250</v>
      </c>
      <c r="R61" s="308">
        <f t="shared" ref="R61:R72" si="22">$O$3+$P$3*Q61+$Q$3*Q61^2+$R$3*Q61^3+$S$3*Q61^4+$T$3*Q61^5</f>
        <v>53.22123634755566</v>
      </c>
      <c r="S61" s="309">
        <f t="shared" ref="S61:S72" si="23">$U$3+$V$3*Q61+$W$3*Q61^2+$X$3*Q61^3+$Y$3*Q61^4+$Z$3*Q61^5</f>
        <v>2.767020703856836</v>
      </c>
      <c r="T61" s="307">
        <f>(T60+T62)/2</f>
        <v>250</v>
      </c>
      <c r="U61" s="308">
        <f t="shared" ref="U61:U72" si="24">$A$53+$B$53*T61+$C$53*T61^2+$D$53*T61^3+$E$53*T61^4+$F$53*T61^5</f>
        <v>28.555774061718751</v>
      </c>
      <c r="V61" s="308">
        <f t="shared" ref="V61:V72" si="25">$G$53+$H$53*T61+$I$53*T61^2+$J$53*T61^3+$K$53*T61^4+$L$53*T61^5</f>
        <v>0.96135243204687482</v>
      </c>
      <c r="W61" s="376"/>
      <c r="X61" s="377"/>
      <c r="Y61" s="378"/>
      <c r="Z61" s="378"/>
      <c r="AA61" s="379"/>
      <c r="AB61" s="334"/>
      <c r="AC61" s="380"/>
      <c r="AD61" s="381"/>
      <c r="AE61" s="382"/>
    </row>
    <row r="62" spans="1:32" x14ac:dyDescent="0.25">
      <c r="A62" s="367">
        <v>0.78300000000000003</v>
      </c>
      <c r="B62" s="368">
        <v>301.57</v>
      </c>
      <c r="C62" s="369">
        <v>2996.8</v>
      </c>
      <c r="D62" s="368">
        <v>19.170000000000002</v>
      </c>
      <c r="E62" s="370">
        <f t="shared" si="14"/>
        <v>6.016</v>
      </c>
      <c r="F62" s="371">
        <v>6.0129999999999999</v>
      </c>
      <c r="G62" s="372" t="str">
        <f t="shared" si="15"/>
        <v>OK</v>
      </c>
      <c r="H62" s="383">
        <f t="shared" si="16"/>
        <v>2215.4</v>
      </c>
      <c r="I62" s="368">
        <v>2215.36</v>
      </c>
      <c r="J62" s="372" t="str">
        <f t="shared" si="17"/>
        <v>OK</v>
      </c>
      <c r="K62" s="356">
        <f t="shared" si="18"/>
        <v>14.19</v>
      </c>
      <c r="L62" s="348">
        <f t="shared" si="19"/>
        <v>14.672857142857143</v>
      </c>
      <c r="M62" s="374" t="str">
        <f t="shared" si="12"/>
        <v>ALARM</v>
      </c>
      <c r="N62" s="384">
        <f t="shared" si="20"/>
        <v>0.61199999999999999</v>
      </c>
      <c r="O62" s="348">
        <f t="shared" si="21"/>
        <v>0.61166666666666669</v>
      </c>
      <c r="P62" s="372" t="str">
        <f t="shared" si="13"/>
        <v>OK</v>
      </c>
      <c r="Q62" s="313">
        <f>$C$3</f>
        <v>500</v>
      </c>
      <c r="R62" s="314">
        <f t="shared" si="22"/>
        <v>52.245569806781255</v>
      </c>
      <c r="S62" s="315">
        <f t="shared" si="23"/>
        <v>2.7212485692937505</v>
      </c>
      <c r="T62" s="313">
        <f>$C$3</f>
        <v>500</v>
      </c>
      <c r="U62" s="314">
        <f t="shared" si="24"/>
        <v>27.281366912499998</v>
      </c>
      <c r="V62" s="314">
        <f t="shared" si="25"/>
        <v>0.89245333399999982</v>
      </c>
      <c r="W62" s="385">
        <f t="shared" ref="W62:W70" si="26">(T62*U62*100)/(135788*V62)</f>
        <v>11.256133177864365</v>
      </c>
      <c r="X62" s="386">
        <f t="shared" ref="X62:X70" si="27">E11</f>
        <v>54.956140493918511</v>
      </c>
      <c r="Y62" s="387">
        <f t="shared" ref="Y62:AA70" si="28">G11</f>
        <v>49.545116731677162</v>
      </c>
      <c r="Z62" s="387">
        <f t="shared" si="28"/>
        <v>2.5035486837502505</v>
      </c>
      <c r="AA62" s="387">
        <f t="shared" si="28"/>
        <v>2.9389484548372509</v>
      </c>
      <c r="AB62" s="334"/>
      <c r="AC62" s="388" t="str">
        <f t="shared" ref="AC62:AC70" si="29">IF(OR(U62&gt;X62,U62&lt;Y62),"FAIL","PASS")</f>
        <v>FAIL</v>
      </c>
      <c r="AD62" s="389" t="str">
        <f t="shared" ref="AD62:AD70" si="30">IF(OR(V62&gt;AA62,V62&lt;Z62),"FAIL","PASS")</f>
        <v>FAIL</v>
      </c>
      <c r="AE62" s="390"/>
      <c r="AF62" s="391" t="s">
        <v>95</v>
      </c>
    </row>
    <row r="63" spans="1:32" x14ac:dyDescent="0.25">
      <c r="A63" s="367">
        <v>0.70299999999999996</v>
      </c>
      <c r="B63" s="368">
        <v>362.99</v>
      </c>
      <c r="C63" s="369">
        <v>2996.5</v>
      </c>
      <c r="D63" s="368">
        <v>18.13</v>
      </c>
      <c r="E63" s="370">
        <f t="shared" si="14"/>
        <v>5.6890000000000001</v>
      </c>
      <c r="F63" s="371">
        <v>5.6890000000000001</v>
      </c>
      <c r="G63" s="372" t="str">
        <f t="shared" si="15"/>
        <v>OK</v>
      </c>
      <c r="H63" s="373">
        <f t="shared" si="16"/>
        <v>2666.7999999999997</v>
      </c>
      <c r="I63" s="368">
        <v>2666.79</v>
      </c>
      <c r="J63" s="372" t="str">
        <f t="shared" si="17"/>
        <v>OK</v>
      </c>
      <c r="K63" s="356">
        <f t="shared" si="18"/>
        <v>12.45</v>
      </c>
      <c r="L63" s="348">
        <f t="shared" si="19"/>
        <v>13.064285714285715</v>
      </c>
      <c r="M63" s="374" t="str">
        <f t="shared" si="12"/>
        <v>ALARM</v>
      </c>
      <c r="N63" s="392">
        <f t="shared" si="20"/>
        <v>0.57899999999999996</v>
      </c>
      <c r="O63" s="348">
        <f t="shared" si="21"/>
        <v>0.57890476190476192</v>
      </c>
      <c r="P63" s="372" t="str">
        <f t="shared" si="13"/>
        <v>OK</v>
      </c>
      <c r="Q63" s="307">
        <f>(Q62+Q64)/2</f>
        <v>2275</v>
      </c>
      <c r="R63" s="308">
        <f t="shared" si="22"/>
        <v>46.598216124680064</v>
      </c>
      <c r="S63" s="309">
        <f t="shared" si="23"/>
        <v>2.5884125314547242</v>
      </c>
      <c r="T63" s="307">
        <f>(T62+T64)/2</f>
        <v>2275</v>
      </c>
      <c r="U63" s="308">
        <f t="shared" si="24"/>
        <v>14.504003909485263</v>
      </c>
      <c r="V63" s="308">
        <f t="shared" si="25"/>
        <v>0.6019023383062202</v>
      </c>
      <c r="W63" s="393">
        <f t="shared" si="26"/>
        <v>40.372150813767306</v>
      </c>
      <c r="X63" s="394">
        <f t="shared" si="27"/>
        <v>49.294480775551101</v>
      </c>
      <c r="Y63" s="395">
        <f t="shared" si="28"/>
        <v>43.933824081786462</v>
      </c>
      <c r="Z63" s="395">
        <f t="shared" si="28"/>
        <v>2.3813395289383466</v>
      </c>
      <c r="AA63" s="395">
        <f t="shared" si="28"/>
        <v>2.7954855339711022</v>
      </c>
      <c r="AB63" s="334"/>
      <c r="AC63" s="396" t="str">
        <f t="shared" si="29"/>
        <v>FAIL</v>
      </c>
      <c r="AD63" s="397" t="str">
        <f t="shared" si="30"/>
        <v>FAIL</v>
      </c>
      <c r="AE63" s="390"/>
    </row>
    <row r="64" spans="1:32" x14ac:dyDescent="0.25">
      <c r="A64" s="367">
        <v>0.65500000000000003</v>
      </c>
      <c r="B64" s="368">
        <v>394.2</v>
      </c>
      <c r="C64" s="369">
        <v>2997.1</v>
      </c>
      <c r="D64" s="368">
        <v>17.93</v>
      </c>
      <c r="E64" s="370">
        <f t="shared" si="14"/>
        <v>5.6280000000000001</v>
      </c>
      <c r="F64" s="371">
        <v>5.6260000000000003</v>
      </c>
      <c r="G64" s="372" t="str">
        <f t="shared" si="15"/>
        <v>OK</v>
      </c>
      <c r="H64" s="373">
        <f t="shared" si="16"/>
        <v>2895.5</v>
      </c>
      <c r="I64" s="368">
        <v>2895.51</v>
      </c>
      <c r="J64" s="372" t="str">
        <f t="shared" si="17"/>
        <v>OK</v>
      </c>
      <c r="K64" s="356">
        <f t="shared" si="18"/>
        <v>11.4</v>
      </c>
      <c r="L64" s="348">
        <f t="shared" si="19"/>
        <v>12.050952380952381</v>
      </c>
      <c r="M64" s="374" t="str">
        <f t="shared" si="12"/>
        <v>ALARM</v>
      </c>
      <c r="N64" s="392">
        <f t="shared" si="20"/>
        <v>0.57199999999999995</v>
      </c>
      <c r="O64" s="348">
        <f t="shared" si="21"/>
        <v>0.57214285714285718</v>
      </c>
      <c r="P64" s="372" t="str">
        <f t="shared" si="13"/>
        <v>OK</v>
      </c>
      <c r="Q64" s="307">
        <f>(Q62+Q66)/2</f>
        <v>4050</v>
      </c>
      <c r="R64" s="308">
        <f t="shared" si="22"/>
        <v>40.537465397409534</v>
      </c>
      <c r="S64" s="309">
        <f t="shared" si="23"/>
        <v>2.5398848447232392</v>
      </c>
      <c r="T64" s="307">
        <f>(T62+T66)/2</f>
        <v>4050</v>
      </c>
      <c r="U64" s="308">
        <f t="shared" si="24"/>
        <v>4.3306062644347776</v>
      </c>
      <c r="V64" s="308">
        <f t="shared" si="25"/>
        <v>0.54116405283227498</v>
      </c>
      <c r="W64" s="393">
        <f t="shared" si="26"/>
        <v>23.867854994742764</v>
      </c>
      <c r="X64" s="394">
        <f t="shared" si="27"/>
        <v>43.360902274433364</v>
      </c>
      <c r="Y64" s="395">
        <f t="shared" si="28"/>
        <v>37.774785601973889</v>
      </c>
      <c r="Z64" s="395">
        <f t="shared" si="28"/>
        <v>2.33669405714538</v>
      </c>
      <c r="AA64" s="395">
        <f t="shared" si="28"/>
        <v>2.7430756323010983</v>
      </c>
      <c r="AB64" s="334"/>
      <c r="AC64" s="396" t="str">
        <f t="shared" si="29"/>
        <v>FAIL</v>
      </c>
      <c r="AD64" s="397" t="str">
        <f t="shared" si="30"/>
        <v>FAIL</v>
      </c>
      <c r="AE64" s="390"/>
    </row>
    <row r="65" spans="1:32" x14ac:dyDescent="0.25">
      <c r="A65" s="367">
        <v>0.55000000000000004</v>
      </c>
      <c r="B65" s="368">
        <v>450.46</v>
      </c>
      <c r="C65" s="369">
        <v>2997.9</v>
      </c>
      <c r="D65" s="368">
        <v>17.86</v>
      </c>
      <c r="E65" s="370">
        <f t="shared" si="14"/>
        <v>5.6070000000000002</v>
      </c>
      <c r="F65" s="371">
        <v>5.6059999999999999</v>
      </c>
      <c r="G65" s="372" t="str">
        <f t="shared" si="15"/>
        <v>OK</v>
      </c>
      <c r="H65" s="373">
        <f t="shared" si="16"/>
        <v>3307.9</v>
      </c>
      <c r="I65" s="368">
        <v>3307.81</v>
      </c>
      <c r="J65" s="372" t="str">
        <f t="shared" si="17"/>
        <v>OK</v>
      </c>
      <c r="K65" s="356">
        <f t="shared" si="18"/>
        <v>9.1199999999999992</v>
      </c>
      <c r="L65" s="348">
        <f t="shared" si="19"/>
        <v>9.836666666666666</v>
      </c>
      <c r="M65" s="374" t="str">
        <f t="shared" si="12"/>
        <v>ALARM</v>
      </c>
      <c r="N65" s="392">
        <f t="shared" si="20"/>
        <v>0.56999999999999995</v>
      </c>
      <c r="O65" s="348">
        <f t="shared" si="21"/>
        <v>0.56961904761904758</v>
      </c>
      <c r="P65" s="372" t="str">
        <f t="shared" si="13"/>
        <v>OK</v>
      </c>
      <c r="Q65" s="307">
        <f>(Q64+Q66)/2</f>
        <v>5825</v>
      </c>
      <c r="R65" s="308">
        <f t="shared" si="22"/>
        <v>33.399631371634094</v>
      </c>
      <c r="S65" s="309">
        <f t="shared" si="23"/>
        <v>2.4580554235397249</v>
      </c>
      <c r="T65" s="307">
        <f>(T64+T66)/2</f>
        <v>5825</v>
      </c>
      <c r="U65" s="308">
        <f t="shared" si="24"/>
        <v>20.730511675392336</v>
      </c>
      <c r="V65" s="308">
        <f t="shared" si="25"/>
        <v>5.1600340830532776E-2</v>
      </c>
      <c r="W65" s="393">
        <f t="shared" si="26"/>
        <v>1723.4234158559784</v>
      </c>
      <c r="X65" s="394">
        <f t="shared" si="27"/>
        <v>36.332462867010086</v>
      </c>
      <c r="Y65" s="395">
        <f t="shared" si="28"/>
        <v>30.589236341325019</v>
      </c>
      <c r="Z65" s="395">
        <f t="shared" si="28"/>
        <v>2.2614109896565471</v>
      </c>
      <c r="AA65" s="395">
        <f t="shared" si="28"/>
        <v>2.6546998574229033</v>
      </c>
      <c r="AB65" s="334"/>
      <c r="AC65" s="396" t="str">
        <f t="shared" si="29"/>
        <v>FAIL</v>
      </c>
      <c r="AD65" s="397" t="str">
        <f t="shared" si="30"/>
        <v>FAIL</v>
      </c>
      <c r="AE65" s="390"/>
    </row>
    <row r="66" spans="1:32" x14ac:dyDescent="0.25">
      <c r="A66" s="367">
        <v>0.42899999999999999</v>
      </c>
      <c r="B66" s="368">
        <v>503.96</v>
      </c>
      <c r="C66" s="369">
        <v>2998.4</v>
      </c>
      <c r="D66" s="368">
        <v>17.47</v>
      </c>
      <c r="E66" s="370">
        <f t="shared" si="14"/>
        <v>5.4859999999999998</v>
      </c>
      <c r="F66" s="371">
        <v>5.4829999999999997</v>
      </c>
      <c r="G66" s="372" t="str">
        <f t="shared" si="15"/>
        <v>OK</v>
      </c>
      <c r="H66" s="383">
        <f t="shared" si="16"/>
        <v>3700.1</v>
      </c>
      <c r="I66" s="368">
        <v>3700.02</v>
      </c>
      <c r="J66" s="372" t="str">
        <f t="shared" si="17"/>
        <v>OK</v>
      </c>
      <c r="K66" s="356">
        <f t="shared" si="18"/>
        <v>6.49</v>
      </c>
      <c r="L66" s="348">
        <f t="shared" si="19"/>
        <v>7.2676190476190481</v>
      </c>
      <c r="M66" s="374" t="str">
        <f t="shared" si="12"/>
        <v>ALARM</v>
      </c>
      <c r="N66" s="384">
        <f t="shared" si="20"/>
        <v>0.55700000000000005</v>
      </c>
      <c r="O66" s="348">
        <f t="shared" si="21"/>
        <v>0.5569047619047619</v>
      </c>
      <c r="P66" s="372" t="str">
        <f t="shared" si="13"/>
        <v>OK</v>
      </c>
      <c r="Q66" s="313">
        <f>$F$3</f>
        <v>7600</v>
      </c>
      <c r="R66" s="314">
        <f t="shared" si="22"/>
        <v>26.279702160517104</v>
      </c>
      <c r="S66" s="315">
        <f t="shared" si="23"/>
        <v>2.3771875742807049</v>
      </c>
      <c r="T66" s="313">
        <f>$F$3</f>
        <v>7600</v>
      </c>
      <c r="U66" s="314">
        <f t="shared" si="24"/>
        <v>405.81232695091239</v>
      </c>
      <c r="V66" s="314">
        <f t="shared" si="25"/>
        <v>-2.1529166204416006</v>
      </c>
      <c r="W66" s="385">
        <f t="shared" si="26"/>
        <v>-1054.9945717807159</v>
      </c>
      <c r="X66" s="386">
        <f t="shared" si="27"/>
        <v>29.142190385995498</v>
      </c>
      <c r="Y66" s="387">
        <f t="shared" si="28"/>
        <v>23.589097694949103</v>
      </c>
      <c r="Z66" s="387">
        <f t="shared" si="28"/>
        <v>2.1870125683382486</v>
      </c>
      <c r="AA66" s="387">
        <f t="shared" si="28"/>
        <v>2.5673625802231617</v>
      </c>
      <c r="AB66" s="398">
        <f>0.9*I3</f>
        <v>55.693060246852674</v>
      </c>
      <c r="AC66" s="388" t="str">
        <f t="shared" si="29"/>
        <v>FAIL</v>
      </c>
      <c r="AD66" s="389" t="str">
        <f t="shared" si="30"/>
        <v>FAIL</v>
      </c>
      <c r="AE66" s="399" t="str">
        <f>IF(W66&lt;AB66,"FAIL","PASS")</f>
        <v>FAIL</v>
      </c>
      <c r="AF66" s="391" t="s">
        <v>96</v>
      </c>
    </row>
    <row r="67" spans="1:32" x14ac:dyDescent="0.25">
      <c r="A67" s="367">
        <v>0.13900000000000001</v>
      </c>
      <c r="B67" s="368">
        <v>605.05999999999995</v>
      </c>
      <c r="C67" s="369">
        <v>2998.6</v>
      </c>
      <c r="D67" s="368">
        <v>15.84</v>
      </c>
      <c r="E67" s="370">
        <f t="shared" si="14"/>
        <v>4.9740000000000002</v>
      </c>
      <c r="F67" s="371">
        <v>4.9740000000000002</v>
      </c>
      <c r="G67" s="372" t="str">
        <f t="shared" si="15"/>
        <v>OK</v>
      </c>
      <c r="H67" s="373">
        <f t="shared" si="16"/>
        <v>4442.1000000000004</v>
      </c>
      <c r="I67" s="368">
        <v>4442.0600000000004</v>
      </c>
      <c r="J67" s="372" t="str">
        <f t="shared" si="17"/>
        <v>OK</v>
      </c>
      <c r="K67" s="356">
        <f t="shared" si="18"/>
        <v>0.2</v>
      </c>
      <c r="L67" s="348">
        <f t="shared" si="19"/>
        <v>1.177142857142857</v>
      </c>
      <c r="M67" s="374" t="str">
        <f t="shared" si="12"/>
        <v>ALARM</v>
      </c>
      <c r="N67" s="392">
        <f t="shared" si="20"/>
        <v>0.505</v>
      </c>
      <c r="O67" s="348">
        <f t="shared" si="21"/>
        <v>0.50509523809523804</v>
      </c>
      <c r="P67" s="372" t="str">
        <f t="shared" si="13"/>
        <v>OK</v>
      </c>
      <c r="Q67" s="307">
        <f>(Q66+Q68)/2</f>
        <v>8450</v>
      </c>
      <c r="R67" s="308">
        <f t="shared" si="22"/>
        <v>23.055908562691634</v>
      </c>
      <c r="S67" s="309">
        <f t="shared" si="23"/>
        <v>2.3464532565127567</v>
      </c>
      <c r="T67" s="307">
        <f>(T66+T68)/2</f>
        <v>8450</v>
      </c>
      <c r="U67" s="308">
        <f t="shared" si="24"/>
        <v>985.47256243340416</v>
      </c>
      <c r="V67" s="308">
        <f t="shared" si="25"/>
        <v>-4.351839542537725</v>
      </c>
      <c r="W67" s="393">
        <f t="shared" si="26"/>
        <v>-1409.1816534635811</v>
      </c>
      <c r="X67" s="394">
        <f t="shared" si="27"/>
        <v>25.883351678633328</v>
      </c>
      <c r="Y67" s="395">
        <f t="shared" si="28"/>
        <v>20.373858005058374</v>
      </c>
      <c r="Z67" s="395">
        <f t="shared" si="28"/>
        <v>2.1587369959917364</v>
      </c>
      <c r="AA67" s="395">
        <f t="shared" si="28"/>
        <v>2.5341695170337775</v>
      </c>
      <c r="AB67" s="334"/>
      <c r="AC67" s="396" t="str">
        <f t="shared" si="29"/>
        <v>FAIL</v>
      </c>
      <c r="AD67" s="397" t="str">
        <f t="shared" si="30"/>
        <v>FAIL</v>
      </c>
      <c r="AE67" s="390"/>
    </row>
    <row r="68" spans="1:32" x14ac:dyDescent="0.25">
      <c r="A68" s="367"/>
      <c r="B68" s="368"/>
      <c r="C68" s="369"/>
      <c r="D68" s="368"/>
      <c r="E68" s="370">
        <f t="shared" si="14"/>
        <v>0</v>
      </c>
      <c r="F68" s="371"/>
      <c r="G68" s="372" t="str">
        <f t="shared" si="15"/>
        <v>OK</v>
      </c>
      <c r="H68" s="373" t="e">
        <f t="shared" si="16"/>
        <v>#DIV/0!</v>
      </c>
      <c r="I68" s="368"/>
      <c r="J68" s="372" t="e">
        <f t="shared" si="17"/>
        <v>#DIV/0!</v>
      </c>
      <c r="K68" s="356" t="e">
        <f t="shared" si="18"/>
        <v>#DIV/0!</v>
      </c>
      <c r="L68" s="368"/>
      <c r="M68" s="374" t="e">
        <f t="shared" si="12"/>
        <v>#DIV/0!</v>
      </c>
      <c r="N68" s="392" t="e">
        <f t="shared" si="20"/>
        <v>#DIV/0!</v>
      </c>
      <c r="O68" s="371"/>
      <c r="P68" s="372" t="e">
        <f t="shared" si="13"/>
        <v>#DIV/0!</v>
      </c>
      <c r="Q68" s="307">
        <f>(Q66+Q70)/2</f>
        <v>9300</v>
      </c>
      <c r="R68" s="308">
        <f t="shared" si="22"/>
        <v>19.756738027207419</v>
      </c>
      <c r="S68" s="309">
        <f t="shared" si="23"/>
        <v>2.308011977164421</v>
      </c>
      <c r="T68" s="307">
        <f>(T66+T70)/2</f>
        <v>9300</v>
      </c>
      <c r="U68" s="308">
        <f t="shared" si="24"/>
        <v>2060.2226455121181</v>
      </c>
      <c r="V68" s="308">
        <f t="shared" si="25"/>
        <v>-7.6347201862016014</v>
      </c>
      <c r="W68" s="393">
        <f t="shared" si="26"/>
        <v>-1848.1728609233053</v>
      </c>
      <c r="X68" s="394">
        <f t="shared" si="27"/>
        <v>22.670211021019703</v>
      </c>
      <c r="Y68" s="395">
        <f t="shared" si="28"/>
        <v>16.886386393688504</v>
      </c>
      <c r="Z68" s="395">
        <f t="shared" si="28"/>
        <v>2.1233710189912673</v>
      </c>
      <c r="AA68" s="395">
        <f t="shared" si="28"/>
        <v>2.4926529353375746</v>
      </c>
      <c r="AB68" s="334"/>
      <c r="AC68" s="396" t="str">
        <f t="shared" si="29"/>
        <v>FAIL</v>
      </c>
      <c r="AD68" s="397" t="str">
        <f t="shared" si="30"/>
        <v>FAIL</v>
      </c>
      <c r="AE68" s="390"/>
    </row>
    <row r="69" spans="1:32" x14ac:dyDescent="0.25">
      <c r="A69" s="367"/>
      <c r="B69" s="368"/>
      <c r="C69" s="369"/>
      <c r="D69" s="368"/>
      <c r="E69" s="370">
        <f t="shared" si="14"/>
        <v>0</v>
      </c>
      <c r="F69" s="371"/>
      <c r="G69" s="372" t="str">
        <f t="shared" si="15"/>
        <v>OK</v>
      </c>
      <c r="H69" s="373" t="e">
        <f t="shared" si="16"/>
        <v>#DIV/0!</v>
      </c>
      <c r="I69" s="368"/>
      <c r="J69" s="372" t="e">
        <f t="shared" si="17"/>
        <v>#DIV/0!</v>
      </c>
      <c r="K69" s="356" t="e">
        <f t="shared" si="18"/>
        <v>#DIV/0!</v>
      </c>
      <c r="L69" s="368"/>
      <c r="M69" s="374" t="e">
        <f t="shared" si="12"/>
        <v>#DIV/0!</v>
      </c>
      <c r="N69" s="392" t="e">
        <f t="shared" si="20"/>
        <v>#DIV/0!</v>
      </c>
      <c r="O69" s="371"/>
      <c r="P69" s="372" t="e">
        <f t="shared" si="13"/>
        <v>#DIV/0!</v>
      </c>
      <c r="Q69" s="307">
        <f>(Q68+Q70)/2</f>
        <v>10150</v>
      </c>
      <c r="R69" s="308">
        <f t="shared" si="22"/>
        <v>15.946139712867335</v>
      </c>
      <c r="S69" s="309">
        <f t="shared" si="23"/>
        <v>2.2339832894354554</v>
      </c>
      <c r="T69" s="307">
        <f>(T68+T70)/2</f>
        <v>10150</v>
      </c>
      <c r="U69" s="308">
        <f t="shared" si="24"/>
        <v>3885.1062652761102</v>
      </c>
      <c r="V69" s="308">
        <f t="shared" si="25"/>
        <v>-12.295653512191226</v>
      </c>
      <c r="W69" s="393">
        <f t="shared" si="26"/>
        <v>-2361.8697084546443</v>
      </c>
      <c r="X69" s="394">
        <f t="shared" si="27"/>
        <v>19.232937014906632</v>
      </c>
      <c r="Y69" s="395">
        <f t="shared" si="28"/>
        <v>12.477690658235751</v>
      </c>
      <c r="Z69" s="395">
        <f t="shared" si="28"/>
        <v>2.0552646262806191</v>
      </c>
      <c r="AA69" s="395">
        <f t="shared" si="28"/>
        <v>2.4127019525902922</v>
      </c>
      <c r="AB69" s="334"/>
      <c r="AC69" s="396" t="str">
        <f t="shared" si="29"/>
        <v>FAIL</v>
      </c>
      <c r="AD69" s="397" t="str">
        <f t="shared" si="30"/>
        <v>FAIL</v>
      </c>
      <c r="AE69" s="390"/>
    </row>
    <row r="70" spans="1:32" x14ac:dyDescent="0.25">
      <c r="A70" s="367"/>
      <c r="B70" s="368"/>
      <c r="C70" s="369"/>
      <c r="D70" s="368"/>
      <c r="E70" s="370">
        <f t="shared" si="14"/>
        <v>0</v>
      </c>
      <c r="F70" s="371"/>
      <c r="G70" s="372" t="str">
        <f t="shared" si="15"/>
        <v>OK</v>
      </c>
      <c r="H70" s="383" t="e">
        <f t="shared" si="16"/>
        <v>#DIV/0!</v>
      </c>
      <c r="I70" s="368"/>
      <c r="J70" s="372" t="e">
        <f t="shared" si="17"/>
        <v>#DIV/0!</v>
      </c>
      <c r="K70" s="356" t="e">
        <f t="shared" si="18"/>
        <v>#DIV/0!</v>
      </c>
      <c r="L70" s="368"/>
      <c r="M70" s="374" t="e">
        <f t="shared" si="12"/>
        <v>#DIV/0!</v>
      </c>
      <c r="N70" s="384" t="e">
        <f t="shared" si="20"/>
        <v>#DIV/0!</v>
      </c>
      <c r="O70" s="371"/>
      <c r="P70" s="372" t="e">
        <f t="shared" si="13"/>
        <v>#DIV/0!</v>
      </c>
      <c r="Q70" s="313">
        <f>$J$3</f>
        <v>11000</v>
      </c>
      <c r="R70" s="314">
        <f t="shared" si="22"/>
        <v>10.878983427000009</v>
      </c>
      <c r="S70" s="315">
        <f t="shared" si="23"/>
        <v>2.0764822614000007</v>
      </c>
      <c r="T70" s="313">
        <f>$J$3</f>
        <v>11000</v>
      </c>
      <c r="U70" s="314">
        <f t="shared" si="24"/>
        <v>6788.9785582000004</v>
      </c>
      <c r="V70" s="314">
        <f t="shared" si="25"/>
        <v>-18.661732575999999</v>
      </c>
      <c r="W70" s="385">
        <f t="shared" si="26"/>
        <v>-2947.0246523839864</v>
      </c>
      <c r="X70" s="386">
        <f t="shared" si="27"/>
        <v>15.06778191805973</v>
      </c>
      <c r="Y70" s="387">
        <f t="shared" si="28"/>
        <v>6.100804721708883</v>
      </c>
      <c r="Z70" s="387">
        <f t="shared" si="28"/>
        <v>1.9103636804880006</v>
      </c>
      <c r="AA70" s="387">
        <f t="shared" si="28"/>
        <v>2.242600842312001</v>
      </c>
      <c r="AB70" s="334"/>
      <c r="AC70" s="388" t="str">
        <f t="shared" si="29"/>
        <v>FAIL</v>
      </c>
      <c r="AD70" s="389" t="str">
        <f t="shared" si="30"/>
        <v>FAIL</v>
      </c>
      <c r="AE70" s="390"/>
      <c r="AF70" s="400" t="s">
        <v>97</v>
      </c>
    </row>
    <row r="71" spans="1:32" x14ac:dyDescent="0.25">
      <c r="A71" s="367"/>
      <c r="B71" s="368"/>
      <c r="C71" s="369"/>
      <c r="D71" s="368"/>
      <c r="E71" s="310"/>
      <c r="F71" s="371"/>
      <c r="G71" s="311"/>
      <c r="H71" s="401"/>
      <c r="I71" s="368"/>
      <c r="J71" s="311"/>
      <c r="K71" s="402"/>
      <c r="L71" s="368"/>
      <c r="M71" s="403"/>
      <c r="N71" s="404"/>
      <c r="O71" s="371"/>
      <c r="P71" s="311"/>
      <c r="Q71" s="307">
        <f>(Q70+Q72)/2</f>
        <v>11500</v>
      </c>
      <c r="R71" s="308">
        <f t="shared" si="22"/>
        <v>6.8777239709687876</v>
      </c>
      <c r="S71" s="309">
        <f t="shared" si="23"/>
        <v>1.9168084970062509</v>
      </c>
      <c r="T71" s="307">
        <f>(T70+T72)/2</f>
        <v>11500</v>
      </c>
      <c r="U71" s="308">
        <f t="shared" si="24"/>
        <v>9163.4480048624973</v>
      </c>
      <c r="V71" s="308">
        <f t="shared" si="25"/>
        <v>-23.346758558499996</v>
      </c>
      <c r="W71" s="376"/>
      <c r="X71" s="377"/>
      <c r="Y71" s="378"/>
      <c r="Z71" s="378"/>
      <c r="AA71" s="379"/>
      <c r="AB71" s="334"/>
      <c r="AC71" s="380"/>
      <c r="AD71" s="381"/>
      <c r="AE71" s="382"/>
    </row>
    <row r="72" spans="1:32" ht="13.2" thickBot="1" x14ac:dyDescent="0.3">
      <c r="A72" s="405"/>
      <c r="B72" s="406"/>
      <c r="C72" s="407"/>
      <c r="D72" s="406"/>
      <c r="E72" s="325"/>
      <c r="F72" s="408"/>
      <c r="G72" s="326"/>
      <c r="H72" s="409"/>
      <c r="I72" s="421"/>
      <c r="J72" s="326"/>
      <c r="K72" s="410"/>
      <c r="L72" s="406"/>
      <c r="M72" s="344"/>
      <c r="N72" s="411"/>
      <c r="O72" s="408"/>
      <c r="P72" s="326"/>
      <c r="Q72" s="322">
        <f>$N$3</f>
        <v>12000</v>
      </c>
      <c r="R72" s="323">
        <f t="shared" si="22"/>
        <v>1.7660538239999255</v>
      </c>
      <c r="S72" s="324">
        <f t="shared" si="23"/>
        <v>1.6844520287999956</v>
      </c>
      <c r="T72" s="322">
        <f>$N$3</f>
        <v>12000</v>
      </c>
      <c r="U72" s="323">
        <f t="shared" si="24"/>
        <v>12150.509432400002</v>
      </c>
      <c r="V72" s="323">
        <f t="shared" si="25"/>
        <v>-28.824404335999997</v>
      </c>
      <c r="W72" s="412"/>
      <c r="X72" s="413"/>
      <c r="Y72" s="414"/>
      <c r="Z72" s="414"/>
      <c r="AA72" s="415"/>
      <c r="AB72" s="416"/>
      <c r="AC72" s="417"/>
      <c r="AD72" s="418"/>
      <c r="AE72" s="419"/>
    </row>
    <row r="73" spans="1:32" x14ac:dyDescent="0.25">
      <c r="I73" s="422"/>
      <c r="L73" s="422">
        <v>599.85</v>
      </c>
      <c r="O73" s="422">
        <v>21.625</v>
      </c>
    </row>
    <row r="74" spans="1:32" x14ac:dyDescent="0.25">
      <c r="I74" s="422"/>
      <c r="L74" s="422">
        <v>357.15</v>
      </c>
      <c r="O74" s="422">
        <v>13.555999999999999</v>
      </c>
    </row>
    <row r="75" spans="1:32" x14ac:dyDescent="0.25">
      <c r="I75" s="422"/>
      <c r="L75" s="422">
        <v>308.13</v>
      </c>
      <c r="O75" s="422">
        <v>12.845000000000001</v>
      </c>
    </row>
    <row r="76" spans="1:32" x14ac:dyDescent="0.25">
      <c r="I76" s="422"/>
      <c r="L76" s="422">
        <v>274.35000000000002</v>
      </c>
      <c r="O76" s="422">
        <v>12.157</v>
      </c>
    </row>
    <row r="77" spans="1:32" x14ac:dyDescent="0.25">
      <c r="I77" s="422"/>
      <c r="L77" s="422">
        <v>253.07</v>
      </c>
      <c r="O77" s="422">
        <v>12.015000000000001</v>
      </c>
    </row>
    <row r="78" spans="1:32" x14ac:dyDescent="0.25">
      <c r="I78" s="422"/>
      <c r="L78" s="422">
        <v>206.57</v>
      </c>
      <c r="O78" s="422">
        <v>11.962</v>
      </c>
    </row>
    <row r="79" spans="1:32" x14ac:dyDescent="0.25">
      <c r="I79" s="422"/>
      <c r="L79" s="422">
        <v>152.62</v>
      </c>
      <c r="O79" s="422">
        <v>11.695</v>
      </c>
    </row>
    <row r="80" spans="1:32" x14ac:dyDescent="0.25">
      <c r="I80" s="422"/>
      <c r="L80" s="422">
        <v>24.72</v>
      </c>
      <c r="O80" s="422">
        <v>10.606999999999999</v>
      </c>
    </row>
  </sheetData>
  <mergeCells count="26">
    <mergeCell ref="X49:Y49"/>
    <mergeCell ref="A1:N1"/>
    <mergeCell ref="O1:T1"/>
    <mergeCell ref="U1:Z1"/>
    <mergeCell ref="AA1:AF1"/>
    <mergeCell ref="A4:N4"/>
    <mergeCell ref="A5:C5"/>
    <mergeCell ref="D5:I5"/>
    <mergeCell ref="AA5:AD5"/>
    <mergeCell ref="D6:E6"/>
    <mergeCell ref="F6:G6"/>
    <mergeCell ref="J8:M8"/>
    <mergeCell ref="J11:M11"/>
    <mergeCell ref="J14:M14"/>
    <mergeCell ref="AC58:AE58"/>
    <mergeCell ref="A51:L51"/>
    <mergeCell ref="A56:B56"/>
    <mergeCell ref="D56:F56"/>
    <mergeCell ref="H56:P56"/>
    <mergeCell ref="Q56:S56"/>
    <mergeCell ref="T56:W56"/>
    <mergeCell ref="A57:G57"/>
    <mergeCell ref="H57:P57"/>
    <mergeCell ref="Q57:S57"/>
    <mergeCell ref="T57:W57"/>
    <mergeCell ref="X57:AB57"/>
  </mergeCells>
  <pageMargins left="0.75" right="0.75" top="1" bottom="1" header="0.5" footer="0.5"/>
  <pageSetup paperSize="3" scale="53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80"/>
  <sheetViews>
    <sheetView zoomScale="90" zoomScaleNormal="90" workbookViewId="0">
      <selection activeCell="A2" sqref="A2"/>
    </sheetView>
  </sheetViews>
  <sheetFormatPr defaultRowHeight="12.6" x14ac:dyDescent="0.25"/>
  <cols>
    <col min="1" max="1" width="12.6640625" style="255" customWidth="1"/>
    <col min="2" max="2" width="14.109375" style="255" bestFit="1" customWidth="1"/>
    <col min="3" max="3" width="15.33203125" style="255" bestFit="1" customWidth="1"/>
    <col min="4" max="4" width="14.109375" style="255" bestFit="1" customWidth="1"/>
    <col min="5" max="5" width="13" style="255" bestFit="1" customWidth="1"/>
    <col min="6" max="6" width="13.33203125" style="255" bestFit="1" customWidth="1"/>
    <col min="7" max="7" width="13.88671875" style="255" bestFit="1" customWidth="1"/>
    <col min="8" max="8" width="13.5546875" style="255" bestFit="1" customWidth="1"/>
    <col min="9" max="9" width="14.109375" style="255" bestFit="1" customWidth="1"/>
    <col min="10" max="10" width="14.44140625" style="255" bestFit="1" customWidth="1"/>
    <col min="11" max="11" width="13.88671875" style="255" bestFit="1" customWidth="1"/>
    <col min="12" max="12" width="14.6640625" style="255" bestFit="1" customWidth="1"/>
    <col min="13" max="13" width="14" style="255" customWidth="1"/>
    <col min="14" max="14" width="16.21875" style="255" bestFit="1" customWidth="1"/>
    <col min="15" max="15" width="14" style="255" bestFit="1" customWidth="1"/>
    <col min="16" max="16" width="14.109375" style="255" customWidth="1"/>
    <col min="17" max="17" width="14.88671875" style="280" bestFit="1" customWidth="1"/>
    <col min="18" max="18" width="13.88671875" style="280" bestFit="1" customWidth="1"/>
    <col min="19" max="19" width="14.44140625" style="280" bestFit="1" customWidth="1"/>
    <col min="20" max="20" width="13.5546875" style="280" bestFit="1" customWidth="1"/>
    <col min="21" max="22" width="13.88671875" style="255" bestFit="1" customWidth="1"/>
    <col min="23" max="23" width="14.6640625" style="255" bestFit="1" customWidth="1"/>
    <col min="24" max="24" width="13.5546875" style="255" bestFit="1" customWidth="1"/>
    <col min="25" max="25" width="14.6640625" style="255" bestFit="1" customWidth="1"/>
    <col min="26" max="26" width="13.5546875" style="255" bestFit="1" customWidth="1"/>
    <col min="27" max="28" width="12.21875" style="255" bestFit="1" customWidth="1"/>
    <col min="29" max="30" width="12.77734375" style="255" bestFit="1" customWidth="1"/>
    <col min="31" max="31" width="13.77734375" style="255" customWidth="1"/>
    <col min="32" max="32" width="12.77734375" style="255" bestFit="1" customWidth="1"/>
    <col min="33" max="16384" width="8.88671875" style="255"/>
  </cols>
  <sheetData>
    <row r="1" spans="1:57" ht="41.25" customHeight="1" thickBot="1" x14ac:dyDescent="0.3">
      <c r="A1" s="519" t="s">
        <v>205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1"/>
      <c r="O1" s="522" t="s">
        <v>38</v>
      </c>
      <c r="P1" s="523"/>
      <c r="Q1" s="523"/>
      <c r="R1" s="523"/>
      <c r="S1" s="523"/>
      <c r="T1" s="523"/>
      <c r="U1" s="522" t="s">
        <v>39</v>
      </c>
      <c r="V1" s="523"/>
      <c r="W1" s="523"/>
      <c r="X1" s="523"/>
      <c r="Y1" s="523"/>
      <c r="Z1" s="524"/>
      <c r="AA1" s="525" t="s">
        <v>133</v>
      </c>
      <c r="AB1" s="526"/>
      <c r="AC1" s="526"/>
      <c r="AD1" s="526"/>
      <c r="AE1" s="526"/>
      <c r="AF1" s="526"/>
    </row>
    <row r="2" spans="1:57" s="265" customFormat="1" ht="50.4" x14ac:dyDescent="0.25">
      <c r="A2" s="256" t="s">
        <v>22</v>
      </c>
      <c r="B2" s="257" t="s">
        <v>26</v>
      </c>
      <c r="C2" s="258" t="s">
        <v>23</v>
      </c>
      <c r="D2" s="257" t="s">
        <v>24</v>
      </c>
      <c r="E2" s="257" t="s">
        <v>25</v>
      </c>
      <c r="F2" s="259" t="s">
        <v>27</v>
      </c>
      <c r="G2" s="257" t="s">
        <v>28</v>
      </c>
      <c r="H2" s="257" t="s">
        <v>29</v>
      </c>
      <c r="I2" s="260" t="s">
        <v>30</v>
      </c>
      <c r="J2" s="261" t="s">
        <v>31</v>
      </c>
      <c r="K2" s="257" t="s">
        <v>32</v>
      </c>
      <c r="L2" s="257" t="s">
        <v>33</v>
      </c>
      <c r="M2" s="257"/>
      <c r="N2" s="262" t="s">
        <v>34</v>
      </c>
      <c r="O2" s="263" t="s">
        <v>189</v>
      </c>
      <c r="P2" s="263" t="s">
        <v>2</v>
      </c>
      <c r="Q2" s="263" t="s">
        <v>3</v>
      </c>
      <c r="R2" s="263" t="s">
        <v>4</v>
      </c>
      <c r="S2" s="263" t="s">
        <v>5</v>
      </c>
      <c r="T2" s="263" t="s">
        <v>6</v>
      </c>
      <c r="U2" s="263" t="s">
        <v>188</v>
      </c>
      <c r="V2" s="263" t="s">
        <v>8</v>
      </c>
      <c r="W2" s="263" t="s">
        <v>9</v>
      </c>
      <c r="X2" s="263" t="s">
        <v>10</v>
      </c>
      <c r="Y2" s="263" t="s">
        <v>11</v>
      </c>
      <c r="Z2" s="264" t="s">
        <v>12</v>
      </c>
      <c r="AA2" s="274" t="s">
        <v>182</v>
      </c>
      <c r="AB2" s="275" t="s">
        <v>183</v>
      </c>
      <c r="AC2" s="275" t="s">
        <v>184</v>
      </c>
      <c r="AD2" s="275" t="s">
        <v>185</v>
      </c>
      <c r="AE2" s="275" t="s">
        <v>186</v>
      </c>
      <c r="AF2" s="276" t="s">
        <v>187</v>
      </c>
    </row>
    <row r="3" spans="1:57" s="265" customFormat="1" ht="13.2" thickBot="1" x14ac:dyDescent="0.3">
      <c r="A3" s="266">
        <f>'Pump coeff'!M4</f>
        <v>54.3</v>
      </c>
      <c r="B3" s="267">
        <f>'Pump coeff'!N4</f>
        <v>2.8245</v>
      </c>
      <c r="C3" s="268">
        <f>'Pump coeff'!O4</f>
        <v>500</v>
      </c>
      <c r="D3" s="267">
        <f>'Pump coeff'!P4</f>
        <v>52.245569806781255</v>
      </c>
      <c r="E3" s="267">
        <f>'Pump coeff'!Q4</f>
        <v>2.7212485692937505</v>
      </c>
      <c r="F3" s="268">
        <f>'Pump coeff'!R4</f>
        <v>7600</v>
      </c>
      <c r="G3" s="267">
        <f>'Pump coeff'!S4</f>
        <v>26.279702160517104</v>
      </c>
      <c r="H3" s="267">
        <f>'Pump coeff'!T4</f>
        <v>2.3771875742807049</v>
      </c>
      <c r="I3" s="269">
        <f>'Pump coeff'!U4</f>
        <v>61.881178052058523</v>
      </c>
      <c r="J3" s="268">
        <f>'Pump coeff'!V4</f>
        <v>11000</v>
      </c>
      <c r="K3" s="267">
        <f>'Pump coeff'!W4</f>
        <v>10.878983427000009</v>
      </c>
      <c r="L3" s="267">
        <f>'Pump coeff'!X4</f>
        <v>2.0764822614000007</v>
      </c>
      <c r="M3" s="270"/>
      <c r="N3" s="271">
        <f>'Pump coeff'!Z4</f>
        <v>12000</v>
      </c>
      <c r="O3" s="272">
        <f>'Pump coeff'!AA4</f>
        <v>54.3</v>
      </c>
      <c r="P3" s="272">
        <f>'Pump coeff'!AB4</f>
        <v>-4.5550820000000002E-3</v>
      </c>
      <c r="Q3" s="272">
        <f>'Pump coeff'!AC4</f>
        <v>1.031675E-6</v>
      </c>
      <c r="R3" s="272">
        <f>'Pump coeff'!AD4</f>
        <v>-2.9421260000000001E-10</v>
      </c>
      <c r="S3" s="272">
        <f>'Pump coeff'!AE4</f>
        <v>3.210864E-14</v>
      </c>
      <c r="T3" s="272">
        <f>'Pump coeff'!AF4</f>
        <v>-1.221063E-18</v>
      </c>
      <c r="U3" s="272">
        <f>'Pump coeff'!AG4</f>
        <v>2.8245</v>
      </c>
      <c r="V3" s="272">
        <f>'Pump coeff'!AH4</f>
        <v>-2.561385E-4</v>
      </c>
      <c r="W3" s="272">
        <f>'Pump coeff'!AI4</f>
        <v>1.1078640000000001E-7</v>
      </c>
      <c r="X3" s="272">
        <f>'Pump coeff'!AJ4</f>
        <v>-2.4189500000000001E-11</v>
      </c>
      <c r="Y3" s="272">
        <f>'Pump coeff'!AK4</f>
        <v>2.3610659999999999E-15</v>
      </c>
      <c r="Z3" s="273">
        <f>'Pump coeff'!AL4</f>
        <v>-8.51146E-20</v>
      </c>
      <c r="AA3" s="294"/>
      <c r="AB3" s="294"/>
      <c r="AC3" s="294"/>
      <c r="AD3" s="294"/>
      <c r="AE3" s="294"/>
      <c r="AF3" s="294"/>
    </row>
    <row r="4" spans="1:57" s="265" customFormat="1" ht="13.2" thickBot="1" x14ac:dyDescent="0.3">
      <c r="A4" s="527" t="s">
        <v>181</v>
      </c>
      <c r="B4" s="528"/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277">
        <v>55.159590000000001</v>
      </c>
      <c r="P4" s="277">
        <v>2.8504939999999999E-3</v>
      </c>
      <c r="Q4" s="277">
        <v>-4.5945139999999998E-6</v>
      </c>
      <c r="R4" s="277">
        <v>9.4705750000000007E-10</v>
      </c>
      <c r="S4" s="277">
        <v>-7.7101360000000002E-14</v>
      </c>
      <c r="T4" s="277">
        <v>2.017562E-18</v>
      </c>
      <c r="U4" s="277">
        <v>2.8273730000000001</v>
      </c>
      <c r="V4" s="277">
        <v>1.4095939999999999E-4</v>
      </c>
      <c r="W4" s="277">
        <v>-4.3633410000000003E-8</v>
      </c>
      <c r="X4" s="277">
        <v>-3.3305100000000001E-12</v>
      </c>
      <c r="Y4" s="277">
        <v>1.599288E-15</v>
      </c>
      <c r="Z4" s="278">
        <v>-9.9028209999999997E-20</v>
      </c>
      <c r="AA4" s="427">
        <v>3.72368E-2</v>
      </c>
      <c r="AB4" s="428">
        <v>1.5878030000000001E-2</v>
      </c>
      <c r="AC4" s="428">
        <v>-1.9602540000000001E-6</v>
      </c>
      <c r="AD4" s="428">
        <v>4.1427299999999998E-11</v>
      </c>
      <c r="AE4" s="428">
        <v>2.1266079999999999E-14</v>
      </c>
      <c r="AF4" s="429">
        <v>-2.1092409999999999E-18</v>
      </c>
    </row>
    <row r="5" spans="1:57" ht="13.2" thickBot="1" x14ac:dyDescent="0.3">
      <c r="A5" s="529" t="s">
        <v>76</v>
      </c>
      <c r="B5" s="530"/>
      <c r="C5" s="531"/>
      <c r="D5" s="529" t="s">
        <v>84</v>
      </c>
      <c r="E5" s="530"/>
      <c r="F5" s="532"/>
      <c r="G5" s="532"/>
      <c r="H5" s="532"/>
      <c r="I5" s="533"/>
      <c r="J5" s="279"/>
      <c r="K5" s="279"/>
      <c r="L5" s="279"/>
      <c r="M5" s="279"/>
      <c r="N5" s="279"/>
      <c r="AA5" s="534" t="s">
        <v>199</v>
      </c>
      <c r="AB5" s="535"/>
      <c r="AC5" s="535"/>
      <c r="AD5" s="536"/>
    </row>
    <row r="6" spans="1:57" ht="38.25" customHeight="1" thickBot="1" x14ac:dyDescent="0.3">
      <c r="A6" s="281"/>
      <c r="B6" s="282"/>
      <c r="C6" s="283"/>
      <c r="D6" s="505" t="s">
        <v>85</v>
      </c>
      <c r="E6" s="506"/>
      <c r="F6" s="505" t="s">
        <v>86</v>
      </c>
      <c r="G6" s="506"/>
      <c r="H6" s="284"/>
      <c r="I6" s="285"/>
      <c r="J6" s="279"/>
      <c r="K6" s="279"/>
      <c r="L6" s="279"/>
      <c r="M6" s="279"/>
      <c r="N6" s="279"/>
      <c r="AA6" s="286"/>
      <c r="AB6" s="287"/>
      <c r="AC6" s="288"/>
      <c r="AD6" s="289"/>
    </row>
    <row r="7" spans="1:57" x14ac:dyDescent="0.25">
      <c r="A7" s="274" t="s">
        <v>70</v>
      </c>
      <c r="B7" s="275" t="s">
        <v>72</v>
      </c>
      <c r="C7" s="276" t="s">
        <v>74</v>
      </c>
      <c r="D7" s="274" t="s">
        <v>78</v>
      </c>
      <c r="E7" s="275" t="s">
        <v>81</v>
      </c>
      <c r="F7" s="275" t="s">
        <v>80</v>
      </c>
      <c r="G7" s="275" t="s">
        <v>79</v>
      </c>
      <c r="H7" s="275" t="s">
        <v>82</v>
      </c>
      <c r="I7" s="276" t="s">
        <v>83</v>
      </c>
      <c r="J7" s="290"/>
      <c r="K7" s="290"/>
      <c r="L7" s="290"/>
      <c r="M7" s="290"/>
      <c r="N7" s="290"/>
      <c r="AA7" s="274" t="s">
        <v>70</v>
      </c>
      <c r="AB7" s="275" t="s">
        <v>72</v>
      </c>
      <c r="AC7" s="291" t="s">
        <v>74</v>
      </c>
      <c r="AD7" s="292" t="s">
        <v>135</v>
      </c>
    </row>
    <row r="8" spans="1:57" ht="13.2" thickBot="1" x14ac:dyDescent="0.3">
      <c r="A8" s="293" t="s">
        <v>71</v>
      </c>
      <c r="B8" s="294" t="s">
        <v>73</v>
      </c>
      <c r="C8" s="295" t="s">
        <v>75</v>
      </c>
      <c r="D8" s="293" t="s">
        <v>71</v>
      </c>
      <c r="E8" s="294" t="s">
        <v>73</v>
      </c>
      <c r="F8" s="294" t="s">
        <v>71</v>
      </c>
      <c r="G8" s="294" t="s">
        <v>73</v>
      </c>
      <c r="H8" s="294" t="s">
        <v>75</v>
      </c>
      <c r="I8" s="295" t="s">
        <v>75</v>
      </c>
      <c r="J8" s="518" t="s">
        <v>98</v>
      </c>
      <c r="K8" s="489"/>
      <c r="L8" s="489"/>
      <c r="M8" s="489"/>
      <c r="N8" s="290"/>
      <c r="AA8" s="293" t="s">
        <v>71</v>
      </c>
      <c r="AB8" s="294" t="s">
        <v>73</v>
      </c>
      <c r="AC8" s="296" t="s">
        <v>75</v>
      </c>
      <c r="AD8" s="297" t="s">
        <v>92</v>
      </c>
    </row>
    <row r="9" spans="1:57" x14ac:dyDescent="0.25">
      <c r="A9" s="298">
        <v>0</v>
      </c>
      <c r="B9" s="299">
        <f>O3</f>
        <v>54.3</v>
      </c>
      <c r="C9" s="300">
        <f>U3</f>
        <v>2.8245</v>
      </c>
      <c r="D9" s="298"/>
      <c r="E9" s="299"/>
      <c r="F9" s="301"/>
      <c r="G9" s="299"/>
      <c r="H9" s="301"/>
      <c r="I9" s="302"/>
      <c r="J9" s="303">
        <f>A11</f>
        <v>500</v>
      </c>
      <c r="K9" s="255">
        <v>0</v>
      </c>
      <c r="L9" s="255">
        <v>0</v>
      </c>
      <c r="M9" s="255">
        <v>0</v>
      </c>
      <c r="AA9" s="304">
        <f>A9</f>
        <v>0</v>
      </c>
      <c r="AB9" s="305">
        <f>O4</f>
        <v>55.159590000000001</v>
      </c>
      <c r="AC9" s="306">
        <f>U4</f>
        <v>2.8273730000000001</v>
      </c>
      <c r="AD9" s="424">
        <f>AA4</f>
        <v>3.72368E-2</v>
      </c>
    </row>
    <row r="10" spans="1:57" x14ac:dyDescent="0.25">
      <c r="A10" s="307">
        <f>(A9+A11)/2</f>
        <v>250</v>
      </c>
      <c r="B10" s="308">
        <f t="shared" ref="B10:B21" si="0">$O$3+$P$3*A10+$Q$3*A10^2+$R$3*A10^3+$S$3*A10^4+$T$3*A10^5</f>
        <v>53.22123634755566</v>
      </c>
      <c r="C10" s="309">
        <f t="shared" ref="C10:C21" si="1">$U$3+$V$3*A10+$W$3*A10^2+$X$3*A10^3+$Y$3*A10^4+$Z$3*A10^5</f>
        <v>2.767020703856836</v>
      </c>
      <c r="D10" s="307"/>
      <c r="E10" s="308"/>
      <c r="F10" s="310"/>
      <c r="G10" s="308"/>
      <c r="H10" s="310"/>
      <c r="I10" s="311"/>
      <c r="J10" s="303">
        <f>A11</f>
        <v>500</v>
      </c>
      <c r="K10" s="255">
        <v>60</v>
      </c>
      <c r="L10" s="255">
        <v>3.5</v>
      </c>
      <c r="M10" s="255">
        <v>70</v>
      </c>
      <c r="AA10" s="307">
        <f t="shared" ref="AA10:AA21" si="2">A10</f>
        <v>250</v>
      </c>
      <c r="AB10" s="308">
        <f>$O$4+$P$4*A10+$Q$4*A10^2+$R$4*A10^3+$S$4*A10^4+$T$4*A10^5</f>
        <v>55.59955494152539</v>
      </c>
      <c r="AC10" s="312">
        <f>$U$4+$V$4*AA10+$W$4*AA10^2+$X$4*AA10^3+$Y$4*AA10^4+$Z$4*AA10^5</f>
        <v>2.8598398731677634</v>
      </c>
      <c r="AD10" s="425">
        <f>$AA$4+$AB$4*AA10+$AC$4*AA10^2+$AD$4*AA10^3+$AE$4*AA10^4+$AF$4*AA10^5</f>
        <v>3.8849567373818363</v>
      </c>
    </row>
    <row r="11" spans="1:57" s="319" customFormat="1" x14ac:dyDescent="0.25">
      <c r="A11" s="313">
        <f>$C$3</f>
        <v>500</v>
      </c>
      <c r="B11" s="314">
        <f t="shared" si="0"/>
        <v>52.245569806781255</v>
      </c>
      <c r="C11" s="315">
        <f t="shared" si="1"/>
        <v>2.7212485692937505</v>
      </c>
      <c r="D11" s="316">
        <f t="shared" ref="D11:D19" si="3">0.95*A11</f>
        <v>475</v>
      </c>
      <c r="E11" s="314">
        <f t="shared" ref="E11:E19" si="4">($O$3+$P$3*D11+$Q$3*D11^2+$R$3*D11^3+$S$3*D11^4+$T$3*D11^5)*1.05</f>
        <v>54.956140493918511</v>
      </c>
      <c r="F11" s="317">
        <f t="shared" ref="F11:F19" si="5">1.05*A11</f>
        <v>525</v>
      </c>
      <c r="G11" s="314">
        <f t="shared" ref="G11:G19" si="6">($O$3+$P$3*F11+$Q$3*F11^2+$R$3*F11^3+$S$3*F11^4+$T$3*F11^5)*0.95</f>
        <v>49.545116731677162</v>
      </c>
      <c r="H11" s="314">
        <f t="shared" ref="H11:H19" si="7">C11*0.92</f>
        <v>2.5035486837502505</v>
      </c>
      <c r="I11" s="315">
        <f t="shared" ref="I11:I19" si="8">1.08*C11</f>
        <v>2.9389484548372509</v>
      </c>
      <c r="J11" s="491" t="s">
        <v>96</v>
      </c>
      <c r="K11" s="489"/>
      <c r="L11" s="489"/>
      <c r="M11" s="489"/>
      <c r="N11" s="318"/>
      <c r="Q11" s="320"/>
      <c r="R11" s="320"/>
      <c r="S11" s="320"/>
      <c r="T11" s="320"/>
      <c r="AA11" s="307">
        <f t="shared" si="2"/>
        <v>500</v>
      </c>
      <c r="AB11" s="308">
        <f t="shared" ref="AB11:AB21" si="9">$O$4+$P$4*A11+$Q$4*A11^2+$R$4*A11^3+$S$4*A11^4+$T$4*A11^5</f>
        <v>55.549834901312501</v>
      </c>
      <c r="AC11" s="312">
        <f t="shared" ref="AC11:AC21" si="10">$U$4+$V$4*AA11+$W$4*AA11^2+$X$4*AA11^3+$Y$4*AA11^4+$Z$4*AA11^5</f>
        <v>2.8866248946184374</v>
      </c>
      <c r="AD11" s="425">
        <f t="shared" ref="AD11:AD21" si="11">$AA$4+$AB$4*AA11+$AC$4*AA11^2+$AD$4*AA11^3+$AE$4*AA11^4+$AF$4*AA11^5</f>
        <v>7.4926299287187508</v>
      </c>
      <c r="AE11" s="318"/>
      <c r="AF11" s="318"/>
      <c r="AG11" s="318"/>
      <c r="AH11" s="318"/>
      <c r="AI11" s="318"/>
      <c r="AJ11" s="318"/>
      <c r="AK11" s="318"/>
      <c r="AL11" s="318"/>
      <c r="AM11" s="318"/>
      <c r="AN11" s="318"/>
      <c r="AO11" s="318"/>
      <c r="AP11" s="318"/>
      <c r="AQ11" s="318"/>
      <c r="AR11" s="318"/>
      <c r="AS11" s="318"/>
      <c r="AT11" s="318"/>
      <c r="AU11" s="318"/>
      <c r="AV11" s="318"/>
      <c r="AW11" s="318"/>
      <c r="AX11" s="318"/>
      <c r="AY11" s="318"/>
      <c r="AZ11" s="318"/>
      <c r="BA11" s="318"/>
      <c r="BB11" s="318"/>
      <c r="BC11" s="318"/>
      <c r="BD11" s="318"/>
      <c r="BE11" s="318"/>
    </row>
    <row r="12" spans="1:57" x14ac:dyDescent="0.25">
      <c r="A12" s="307">
        <f>(A11+A13)/2</f>
        <v>2275</v>
      </c>
      <c r="B12" s="308">
        <f t="shared" si="0"/>
        <v>46.598216124680064</v>
      </c>
      <c r="C12" s="309">
        <f t="shared" si="1"/>
        <v>2.5884125314547242</v>
      </c>
      <c r="D12" s="307">
        <f t="shared" si="3"/>
        <v>2161.25</v>
      </c>
      <c r="E12" s="308">
        <f t="shared" si="4"/>
        <v>49.294480775551101</v>
      </c>
      <c r="F12" s="310">
        <f t="shared" si="5"/>
        <v>2388.75</v>
      </c>
      <c r="G12" s="308">
        <f t="shared" si="6"/>
        <v>43.933824081786462</v>
      </c>
      <c r="H12" s="308">
        <f t="shared" si="7"/>
        <v>2.3813395289383466</v>
      </c>
      <c r="I12" s="309">
        <f t="shared" si="8"/>
        <v>2.7954855339711022</v>
      </c>
      <c r="J12" s="321">
        <f>A15</f>
        <v>7600</v>
      </c>
      <c r="K12" s="318">
        <v>0</v>
      </c>
      <c r="L12" s="318">
        <v>0</v>
      </c>
      <c r="M12" s="318">
        <v>0</v>
      </c>
      <c r="N12" s="318"/>
      <c r="AA12" s="307">
        <f t="shared" si="2"/>
        <v>2275</v>
      </c>
      <c r="AB12" s="308">
        <f t="shared" si="9"/>
        <v>47.073785384975046</v>
      </c>
      <c r="AC12" s="312">
        <f t="shared" si="10"/>
        <v>2.9198156570568128</v>
      </c>
      <c r="AD12" s="425">
        <f t="shared" si="11"/>
        <v>26.943121119263353</v>
      </c>
      <c r="AE12" s="318"/>
      <c r="AF12" s="318"/>
      <c r="AG12" s="318"/>
      <c r="AH12" s="318"/>
      <c r="AI12" s="318"/>
      <c r="AJ12" s="318"/>
      <c r="AK12" s="318"/>
      <c r="AL12" s="318"/>
      <c r="AM12" s="318"/>
      <c r="AN12" s="318"/>
      <c r="AO12" s="318"/>
      <c r="AP12" s="318"/>
      <c r="AQ12" s="318"/>
      <c r="AR12" s="318"/>
      <c r="AS12" s="318"/>
      <c r="AT12" s="318"/>
      <c r="AU12" s="318"/>
      <c r="AV12" s="318"/>
      <c r="AW12" s="318"/>
      <c r="AX12" s="318"/>
      <c r="AY12" s="318"/>
      <c r="AZ12" s="318"/>
      <c r="BA12" s="318"/>
      <c r="BB12" s="318"/>
      <c r="BC12" s="318"/>
      <c r="BD12" s="318"/>
      <c r="BE12" s="318"/>
    </row>
    <row r="13" spans="1:57" x14ac:dyDescent="0.25">
      <c r="A13" s="307">
        <f>(A11+A15)/2</f>
        <v>4050</v>
      </c>
      <c r="B13" s="308">
        <f t="shared" si="0"/>
        <v>40.537465397409534</v>
      </c>
      <c r="C13" s="309">
        <f t="shared" si="1"/>
        <v>2.5398848447232392</v>
      </c>
      <c r="D13" s="307">
        <f t="shared" si="3"/>
        <v>3847.5</v>
      </c>
      <c r="E13" s="308">
        <f t="shared" si="4"/>
        <v>43.360902274433364</v>
      </c>
      <c r="F13" s="310">
        <f t="shared" si="5"/>
        <v>4252.5</v>
      </c>
      <c r="G13" s="308">
        <f t="shared" si="6"/>
        <v>37.774785601973889</v>
      </c>
      <c r="H13" s="308">
        <f t="shared" si="7"/>
        <v>2.33669405714538</v>
      </c>
      <c r="I13" s="309">
        <f t="shared" si="8"/>
        <v>2.7430756323010983</v>
      </c>
      <c r="J13" s="321">
        <f>A15</f>
        <v>7600</v>
      </c>
      <c r="K13" s="318">
        <v>60</v>
      </c>
      <c r="L13" s="318">
        <v>3.5</v>
      </c>
      <c r="M13" s="318">
        <v>70</v>
      </c>
      <c r="N13" s="318"/>
      <c r="AA13" s="307">
        <f t="shared" si="2"/>
        <v>4050</v>
      </c>
      <c r="AB13" s="308">
        <f t="shared" si="9"/>
        <v>35.710594502449737</v>
      </c>
      <c r="AC13" s="312">
        <f t="shared" si="10"/>
        <v>2.7836878883631275</v>
      </c>
      <c r="AD13" s="425">
        <f t="shared" si="11"/>
        <v>38.365410167951239</v>
      </c>
      <c r="AE13" s="318"/>
      <c r="AF13" s="318"/>
      <c r="AG13" s="318"/>
      <c r="AH13" s="318"/>
      <c r="AI13" s="318"/>
      <c r="AJ13" s="318"/>
      <c r="AK13" s="318"/>
      <c r="AL13" s="318"/>
      <c r="AM13" s="318"/>
      <c r="AN13" s="318"/>
      <c r="AO13" s="318"/>
      <c r="AP13" s="318"/>
      <c r="AQ13" s="318"/>
      <c r="AR13" s="318"/>
      <c r="AS13" s="318"/>
      <c r="AT13" s="318"/>
      <c r="AU13" s="318"/>
      <c r="AV13" s="318"/>
      <c r="AW13" s="318"/>
      <c r="AX13" s="318"/>
      <c r="AY13" s="318"/>
      <c r="AZ13" s="318"/>
      <c r="BA13" s="318"/>
      <c r="BB13" s="318"/>
      <c r="BC13" s="318"/>
      <c r="BD13" s="318"/>
      <c r="BE13" s="318"/>
    </row>
    <row r="14" spans="1:57" x14ac:dyDescent="0.25">
      <c r="A14" s="307">
        <f>(A13+A15)/2</f>
        <v>5825</v>
      </c>
      <c r="B14" s="308">
        <f t="shared" si="0"/>
        <v>33.399631371634094</v>
      </c>
      <c r="C14" s="309">
        <f t="shared" si="1"/>
        <v>2.4580554235397249</v>
      </c>
      <c r="D14" s="307">
        <f t="shared" si="3"/>
        <v>5533.75</v>
      </c>
      <c r="E14" s="308">
        <f t="shared" si="4"/>
        <v>36.332462867010086</v>
      </c>
      <c r="F14" s="310">
        <f t="shared" si="5"/>
        <v>6116.25</v>
      </c>
      <c r="G14" s="308">
        <f t="shared" si="6"/>
        <v>30.589236341325019</v>
      </c>
      <c r="H14" s="308">
        <f t="shared" si="7"/>
        <v>2.2614109896565471</v>
      </c>
      <c r="I14" s="309">
        <f t="shared" si="8"/>
        <v>2.6546998574229033</v>
      </c>
      <c r="J14" s="491" t="s">
        <v>99</v>
      </c>
      <c r="K14" s="489"/>
      <c r="L14" s="489"/>
      <c r="M14" s="489"/>
      <c r="N14" s="318"/>
      <c r="AA14" s="307">
        <f t="shared" si="2"/>
        <v>5825</v>
      </c>
      <c r="AB14" s="308">
        <f t="shared" si="9"/>
        <v>27.815463777769857</v>
      </c>
      <c r="AC14" s="312">
        <f t="shared" si="10"/>
        <v>2.6868232072573641</v>
      </c>
      <c r="AD14" s="425">
        <f t="shared" si="11"/>
        <v>44.540327376631247</v>
      </c>
      <c r="AE14" s="318"/>
      <c r="AF14" s="318"/>
      <c r="AG14" s="318"/>
      <c r="AH14" s="318"/>
      <c r="AI14" s="318"/>
      <c r="AJ14" s="318"/>
      <c r="AK14" s="318"/>
      <c r="AL14" s="318"/>
      <c r="AM14" s="318"/>
      <c r="AN14" s="318"/>
      <c r="AO14" s="318"/>
      <c r="AP14" s="318"/>
      <c r="AQ14" s="318"/>
      <c r="AR14" s="318"/>
      <c r="AS14" s="318"/>
      <c r="AT14" s="318"/>
      <c r="AU14" s="318"/>
      <c r="AV14" s="318"/>
      <c r="AW14" s="318"/>
      <c r="AX14" s="318"/>
      <c r="AY14" s="318"/>
      <c r="AZ14" s="318"/>
      <c r="BA14" s="318"/>
      <c r="BB14" s="318"/>
      <c r="BC14" s="318"/>
      <c r="BD14" s="318"/>
      <c r="BE14" s="318"/>
    </row>
    <row r="15" spans="1:57" s="319" customFormat="1" x14ac:dyDescent="0.25">
      <c r="A15" s="313">
        <f>$F$3</f>
        <v>7600</v>
      </c>
      <c r="B15" s="314">
        <f t="shared" si="0"/>
        <v>26.279702160517104</v>
      </c>
      <c r="C15" s="315">
        <f t="shared" si="1"/>
        <v>2.3771875742807049</v>
      </c>
      <c r="D15" s="316">
        <f t="shared" si="3"/>
        <v>7220</v>
      </c>
      <c r="E15" s="314">
        <f t="shared" si="4"/>
        <v>29.142190385995498</v>
      </c>
      <c r="F15" s="317">
        <f t="shared" si="5"/>
        <v>7980</v>
      </c>
      <c r="G15" s="314">
        <f t="shared" si="6"/>
        <v>23.589097694949103</v>
      </c>
      <c r="H15" s="314">
        <f t="shared" si="7"/>
        <v>2.1870125683382486</v>
      </c>
      <c r="I15" s="315">
        <f t="shared" si="8"/>
        <v>2.5673625802231617</v>
      </c>
      <c r="J15" s="321">
        <f>A19</f>
        <v>11000</v>
      </c>
      <c r="K15" s="318">
        <v>0</v>
      </c>
      <c r="L15" s="318">
        <v>0</v>
      </c>
      <c r="M15" s="318">
        <v>0</v>
      </c>
      <c r="N15" s="318"/>
      <c r="Q15" s="320"/>
      <c r="R15" s="320"/>
      <c r="S15" s="320"/>
      <c r="T15" s="320"/>
      <c r="AA15" s="307">
        <f t="shared" si="2"/>
        <v>7600</v>
      </c>
      <c r="AB15" s="308">
        <f t="shared" si="9"/>
        <v>21.108611150597142</v>
      </c>
      <c r="AC15" s="312">
        <f t="shared" si="10"/>
        <v>2.7410720997602307</v>
      </c>
      <c r="AD15" s="425">
        <f t="shared" si="11"/>
        <v>43.13951378781185</v>
      </c>
      <c r="AE15" s="318"/>
      <c r="AF15" s="318"/>
      <c r="AG15" s="318"/>
      <c r="AH15" s="318"/>
      <c r="AI15" s="318"/>
      <c r="AJ15" s="318"/>
      <c r="AK15" s="318"/>
      <c r="AL15" s="318"/>
      <c r="AM15" s="318"/>
      <c r="AN15" s="318"/>
      <c r="AO15" s="318"/>
      <c r="AP15" s="318"/>
      <c r="AQ15" s="318"/>
      <c r="AR15" s="318"/>
      <c r="AS15" s="318"/>
      <c r="AT15" s="318"/>
      <c r="AU15" s="318"/>
      <c r="AV15" s="318"/>
      <c r="AW15" s="318"/>
      <c r="AX15" s="318"/>
      <c r="AY15" s="318"/>
      <c r="AZ15" s="318"/>
      <c r="BA15" s="318"/>
      <c r="BB15" s="318"/>
      <c r="BC15" s="318"/>
      <c r="BD15" s="318"/>
      <c r="BE15" s="318"/>
    </row>
    <row r="16" spans="1:57" x14ac:dyDescent="0.25">
      <c r="A16" s="307">
        <f>(A15+A17)/2</f>
        <v>8450</v>
      </c>
      <c r="B16" s="308">
        <f t="shared" si="0"/>
        <v>23.055908562691634</v>
      </c>
      <c r="C16" s="309">
        <f t="shared" si="1"/>
        <v>2.3464532565127567</v>
      </c>
      <c r="D16" s="307">
        <f t="shared" si="3"/>
        <v>8027.5</v>
      </c>
      <c r="E16" s="308">
        <f t="shared" si="4"/>
        <v>25.883351678633328</v>
      </c>
      <c r="F16" s="310">
        <f t="shared" si="5"/>
        <v>8872.5</v>
      </c>
      <c r="G16" s="308">
        <f t="shared" si="6"/>
        <v>20.373858005058374</v>
      </c>
      <c r="H16" s="308">
        <f t="shared" si="7"/>
        <v>2.1587369959917364</v>
      </c>
      <c r="I16" s="309">
        <f t="shared" si="8"/>
        <v>2.5341695170337775</v>
      </c>
      <c r="J16" s="321">
        <f>A19</f>
        <v>11000</v>
      </c>
      <c r="K16" s="318">
        <v>60</v>
      </c>
      <c r="L16" s="318">
        <v>3.5</v>
      </c>
      <c r="M16" s="318">
        <v>70</v>
      </c>
      <c r="N16" s="318"/>
      <c r="AA16" s="307">
        <f t="shared" si="2"/>
        <v>8450</v>
      </c>
      <c r="AB16" s="308">
        <f t="shared" si="9"/>
        <v>16.425653627887826</v>
      </c>
      <c r="AC16" s="312">
        <f t="shared" si="10"/>
        <v>2.7809432250971549</v>
      </c>
      <c r="AD16" s="425">
        <f t="shared" si="11"/>
        <v>36.788234694086555</v>
      </c>
      <c r="AE16" s="318"/>
      <c r="AF16" s="318"/>
      <c r="AG16" s="318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8"/>
      <c r="AX16" s="318"/>
      <c r="AY16" s="318"/>
      <c r="AZ16" s="318"/>
      <c r="BA16" s="318"/>
      <c r="BB16" s="318"/>
      <c r="BC16" s="318"/>
      <c r="BD16" s="318"/>
      <c r="BE16" s="318"/>
    </row>
    <row r="17" spans="1:57" x14ac:dyDescent="0.25">
      <c r="A17" s="307">
        <f>(A15+A19)/2</f>
        <v>9300</v>
      </c>
      <c r="B17" s="308">
        <f t="shared" si="0"/>
        <v>19.756738027207419</v>
      </c>
      <c r="C17" s="309">
        <f t="shared" si="1"/>
        <v>2.308011977164421</v>
      </c>
      <c r="D17" s="307">
        <f t="shared" si="3"/>
        <v>8835</v>
      </c>
      <c r="E17" s="308">
        <f t="shared" si="4"/>
        <v>22.670211021019703</v>
      </c>
      <c r="F17" s="310">
        <f t="shared" si="5"/>
        <v>9765</v>
      </c>
      <c r="G17" s="308">
        <f t="shared" si="6"/>
        <v>16.886386393688504</v>
      </c>
      <c r="H17" s="308">
        <f t="shared" si="7"/>
        <v>2.1233710189912673</v>
      </c>
      <c r="I17" s="309">
        <f t="shared" si="8"/>
        <v>2.4926529353375746</v>
      </c>
      <c r="J17" s="318"/>
      <c r="K17" s="318"/>
      <c r="L17" s="318"/>
      <c r="M17" s="318"/>
      <c r="N17" s="318"/>
      <c r="AA17" s="307">
        <f t="shared" si="2"/>
        <v>9300</v>
      </c>
      <c r="AB17" s="308">
        <f t="shared" si="9"/>
        <v>9.663166424328665</v>
      </c>
      <c r="AC17" s="312">
        <f t="shared" si="10"/>
        <v>2.7597513937590046</v>
      </c>
      <c r="AD17" s="425">
        <f t="shared" si="11"/>
        <v>23.826781799237864</v>
      </c>
      <c r="AE17" s="318"/>
      <c r="AF17" s="318"/>
      <c r="AG17" s="318"/>
      <c r="AH17" s="318"/>
      <c r="AI17" s="318"/>
      <c r="AJ17" s="318"/>
      <c r="AK17" s="318"/>
      <c r="AL17" s="318"/>
      <c r="AM17" s="318"/>
      <c r="AN17" s="318"/>
      <c r="AO17" s="318"/>
      <c r="AP17" s="318"/>
      <c r="AQ17" s="318"/>
      <c r="AR17" s="318"/>
      <c r="AS17" s="318"/>
      <c r="AT17" s="318"/>
      <c r="AU17" s="318"/>
      <c r="AV17" s="318"/>
      <c r="AW17" s="318"/>
      <c r="AX17" s="318"/>
      <c r="AY17" s="318"/>
      <c r="AZ17" s="318"/>
      <c r="BA17" s="318"/>
      <c r="BB17" s="318"/>
      <c r="BC17" s="318"/>
      <c r="BD17" s="318"/>
      <c r="BE17" s="318"/>
    </row>
    <row r="18" spans="1:57" x14ac:dyDescent="0.25">
      <c r="A18" s="307">
        <f>(A17+A19)/2</f>
        <v>10150</v>
      </c>
      <c r="B18" s="308">
        <f t="shared" si="0"/>
        <v>15.946139712867335</v>
      </c>
      <c r="C18" s="309">
        <f t="shared" si="1"/>
        <v>2.2339832894354554</v>
      </c>
      <c r="D18" s="307">
        <f t="shared" si="3"/>
        <v>9642.5</v>
      </c>
      <c r="E18" s="308">
        <f t="shared" si="4"/>
        <v>19.232937014906632</v>
      </c>
      <c r="F18" s="310">
        <f t="shared" si="5"/>
        <v>10657.5</v>
      </c>
      <c r="G18" s="308">
        <f t="shared" si="6"/>
        <v>12.477690658235751</v>
      </c>
      <c r="H18" s="308">
        <f t="shared" si="7"/>
        <v>2.0552646262806191</v>
      </c>
      <c r="I18" s="309">
        <f t="shared" si="8"/>
        <v>2.4127019525902922</v>
      </c>
      <c r="J18" s="318"/>
      <c r="K18" s="318"/>
      <c r="L18" s="318"/>
      <c r="M18" s="318"/>
      <c r="N18" s="318"/>
      <c r="AA18" s="307">
        <f t="shared" si="2"/>
        <v>10150</v>
      </c>
      <c r="AB18" s="308">
        <f t="shared" si="9"/>
        <v>9.4328034895823976E-2</v>
      </c>
      <c r="AC18" s="312">
        <f t="shared" si="10"/>
        <v>2.5863548884430276</v>
      </c>
      <c r="AD18" s="425">
        <f t="shared" si="11"/>
        <v>1.0538681326821688</v>
      </c>
      <c r="AE18" s="318"/>
      <c r="AF18" s="318"/>
      <c r="AG18" s="318"/>
      <c r="AH18" s="318"/>
      <c r="AI18" s="318"/>
      <c r="AJ18" s="318"/>
      <c r="AK18" s="318"/>
      <c r="AL18" s="318"/>
      <c r="AM18" s="318"/>
      <c r="AN18" s="318"/>
      <c r="AO18" s="318"/>
      <c r="AP18" s="318"/>
      <c r="AQ18" s="318"/>
      <c r="AR18" s="318"/>
      <c r="AS18" s="318"/>
      <c r="AT18" s="318"/>
      <c r="AU18" s="318"/>
      <c r="AV18" s="318"/>
      <c r="AW18" s="318"/>
      <c r="AX18" s="318"/>
      <c r="AY18" s="318"/>
      <c r="AZ18" s="318"/>
      <c r="BA18" s="318"/>
      <c r="BB18" s="318"/>
      <c r="BC18" s="318"/>
      <c r="BD18" s="318"/>
      <c r="BE18" s="318"/>
    </row>
    <row r="19" spans="1:57" s="319" customFormat="1" x14ac:dyDescent="0.25">
      <c r="A19" s="313">
        <f>$J$3</f>
        <v>11000</v>
      </c>
      <c r="B19" s="314">
        <f t="shared" si="0"/>
        <v>10.878983427000009</v>
      </c>
      <c r="C19" s="315">
        <f t="shared" si="1"/>
        <v>2.0764822614000007</v>
      </c>
      <c r="D19" s="316">
        <f t="shared" si="3"/>
        <v>10450</v>
      </c>
      <c r="E19" s="314">
        <f t="shared" si="4"/>
        <v>15.06778191805973</v>
      </c>
      <c r="F19" s="317">
        <f t="shared" si="5"/>
        <v>11550</v>
      </c>
      <c r="G19" s="314">
        <f t="shared" si="6"/>
        <v>6.100804721708883</v>
      </c>
      <c r="H19" s="314">
        <f t="shared" si="7"/>
        <v>1.9103636804880006</v>
      </c>
      <c r="I19" s="315">
        <f t="shared" si="8"/>
        <v>2.242600842312001</v>
      </c>
      <c r="J19" s="318"/>
      <c r="K19" s="318"/>
      <c r="L19" s="318"/>
      <c r="M19" s="318"/>
      <c r="N19" s="318"/>
      <c r="Q19" s="320"/>
      <c r="R19" s="320"/>
      <c r="S19" s="320"/>
      <c r="T19" s="320"/>
      <c r="AA19" s="307">
        <f t="shared" si="2"/>
        <v>11000</v>
      </c>
      <c r="AB19" s="308">
        <f t="shared" si="9"/>
        <v>-12.798271598000099</v>
      </c>
      <c r="AC19" s="312">
        <f t="shared" si="10"/>
        <v>2.1319583392899979</v>
      </c>
      <c r="AD19" s="425">
        <f t="shared" si="11"/>
        <v>-35.694125911000071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8"/>
      <c r="AV19" s="318"/>
      <c r="AW19" s="318"/>
      <c r="AX19" s="318"/>
      <c r="AY19" s="318"/>
      <c r="AZ19" s="318"/>
      <c r="BA19" s="318"/>
      <c r="BB19" s="318"/>
      <c r="BC19" s="318"/>
      <c r="BD19" s="318"/>
      <c r="BE19" s="318"/>
    </row>
    <row r="20" spans="1:57" x14ac:dyDescent="0.25">
      <c r="A20" s="307">
        <f>(A19+A21)/2</f>
        <v>11500</v>
      </c>
      <c r="B20" s="308">
        <f t="shared" si="0"/>
        <v>6.8777239709687876</v>
      </c>
      <c r="C20" s="309">
        <f t="shared" si="1"/>
        <v>1.9168084970062509</v>
      </c>
      <c r="D20" s="307"/>
      <c r="E20" s="308"/>
      <c r="F20" s="310"/>
      <c r="G20" s="308"/>
      <c r="H20" s="310"/>
      <c r="I20" s="311"/>
      <c r="AA20" s="307">
        <f t="shared" si="2"/>
        <v>11500</v>
      </c>
      <c r="AB20" s="308">
        <f t="shared" si="9"/>
        <v>-22.031952429812463</v>
      </c>
      <c r="AC20" s="312">
        <f t="shared" si="10"/>
        <v>1.6661351118740626</v>
      </c>
      <c r="AD20" s="425">
        <f t="shared" si="11"/>
        <v>-65.901901034468779</v>
      </c>
    </row>
    <row r="21" spans="1:57" ht="13.2" thickBot="1" x14ac:dyDescent="0.3">
      <c r="A21" s="322">
        <f>$N$3</f>
        <v>12000</v>
      </c>
      <c r="B21" s="323">
        <f t="shared" si="0"/>
        <v>1.7660538239999255</v>
      </c>
      <c r="C21" s="324">
        <f t="shared" si="1"/>
        <v>1.6844520287999956</v>
      </c>
      <c r="D21" s="322"/>
      <c r="E21" s="323"/>
      <c r="F21" s="325"/>
      <c r="G21" s="323"/>
      <c r="H21" s="325"/>
      <c r="I21" s="326"/>
      <c r="AA21" s="322">
        <f t="shared" si="2"/>
        <v>12000</v>
      </c>
      <c r="AB21" s="323">
        <f t="shared" si="9"/>
        <v>-32.46895137599995</v>
      </c>
      <c r="AC21" s="327">
        <f t="shared" si="10"/>
        <v>1.002001897279996</v>
      </c>
      <c r="AD21" s="426">
        <f t="shared" si="11"/>
        <v>-103.98982643200003</v>
      </c>
    </row>
    <row r="49" spans="1:32" ht="13.2" x14ac:dyDescent="0.25">
      <c r="X49" s="507"/>
      <c r="Y49" s="507"/>
    </row>
    <row r="50" spans="1:32" ht="13.2" thickBot="1" x14ac:dyDescent="0.3">
      <c r="X50" s="328"/>
      <c r="Y50" s="329"/>
    </row>
    <row r="51" spans="1:32" ht="13.2" thickBot="1" x14ac:dyDescent="0.3">
      <c r="A51" s="508" t="s">
        <v>164</v>
      </c>
      <c r="B51" s="509"/>
      <c r="C51" s="509"/>
      <c r="D51" s="509"/>
      <c r="E51" s="509"/>
      <c r="F51" s="509"/>
      <c r="G51" s="509"/>
      <c r="H51" s="509"/>
      <c r="I51" s="509"/>
      <c r="J51" s="509"/>
      <c r="K51" s="509"/>
      <c r="L51" s="510"/>
      <c r="M51" s="279"/>
      <c r="X51" s="328"/>
      <c r="Y51" s="329"/>
    </row>
    <row r="52" spans="1:32" x14ac:dyDescent="0.25">
      <c r="A52" s="330" t="s">
        <v>2</v>
      </c>
      <c r="B52" s="331" t="s">
        <v>3</v>
      </c>
      <c r="C52" s="331" t="s">
        <v>4</v>
      </c>
      <c r="D52" s="331" t="s">
        <v>5</v>
      </c>
      <c r="E52" s="331" t="s">
        <v>6</v>
      </c>
      <c r="F52" s="423" t="s">
        <v>7</v>
      </c>
      <c r="G52" s="330" t="s">
        <v>8</v>
      </c>
      <c r="H52" s="331" t="s">
        <v>9</v>
      </c>
      <c r="I52" s="331" t="s">
        <v>10</v>
      </c>
      <c r="J52" s="331" t="s">
        <v>11</v>
      </c>
      <c r="K52" s="331" t="s">
        <v>12</v>
      </c>
      <c r="L52" s="332" t="s">
        <v>13</v>
      </c>
      <c r="M52" s="333"/>
      <c r="X52" s="328"/>
      <c r="Y52" s="329"/>
    </row>
    <row r="53" spans="1:32" ht="15" customHeight="1" x14ac:dyDescent="0.25">
      <c r="A53" s="3">
        <v>35.618090000000002</v>
      </c>
      <c r="B53" s="3">
        <v>1.6811619999999999E-2</v>
      </c>
      <c r="C53" s="3">
        <v>-2.954758E-5</v>
      </c>
      <c r="D53" s="3">
        <v>6.2495370000000002E-9</v>
      </c>
      <c r="E53" s="3">
        <v>0</v>
      </c>
      <c r="F53" s="3">
        <v>0</v>
      </c>
      <c r="G53" s="3">
        <v>0.2139162</v>
      </c>
      <c r="H53" s="3">
        <v>2.090727E-4</v>
      </c>
      <c r="I53" s="3">
        <v>-1.0916369999999999E-7</v>
      </c>
      <c r="J53" s="3">
        <v>2.8957030000000001E-11</v>
      </c>
      <c r="K53" s="3">
        <v>0</v>
      </c>
      <c r="L53" s="3">
        <v>0</v>
      </c>
      <c r="M53" s="334"/>
      <c r="X53" s="328"/>
      <c r="Y53" s="329"/>
    </row>
    <row r="54" spans="1:32" x14ac:dyDescent="0.25">
      <c r="X54" s="335"/>
      <c r="Y54" s="329"/>
    </row>
    <row r="55" spans="1:32" ht="13.2" thickBot="1" x14ac:dyDescent="0.3"/>
    <row r="56" spans="1:32" ht="13.2" thickBot="1" x14ac:dyDescent="0.3">
      <c r="A56" s="511" t="s">
        <v>150</v>
      </c>
      <c r="B56" s="512"/>
      <c r="C56" s="336">
        <v>1</v>
      </c>
      <c r="D56" s="513" t="s">
        <v>149</v>
      </c>
      <c r="E56" s="514"/>
      <c r="F56" s="514"/>
      <c r="G56" s="336">
        <v>85</v>
      </c>
      <c r="H56" s="495" t="s">
        <v>198</v>
      </c>
      <c r="I56" s="500"/>
      <c r="J56" s="500"/>
      <c r="K56" s="497"/>
      <c r="L56" s="497"/>
      <c r="M56" s="497"/>
      <c r="N56" s="497"/>
      <c r="O56" s="497"/>
      <c r="P56" s="498"/>
      <c r="Q56" s="515" t="s">
        <v>76</v>
      </c>
      <c r="R56" s="516"/>
      <c r="S56" s="517"/>
      <c r="T56" s="495" t="s">
        <v>197</v>
      </c>
      <c r="U56" s="500"/>
      <c r="V56" s="500"/>
      <c r="W56" s="499"/>
      <c r="AA56" s="280"/>
      <c r="AB56" s="280"/>
      <c r="AC56" s="280"/>
      <c r="AD56" s="280"/>
    </row>
    <row r="57" spans="1:32" ht="13.2" thickBot="1" x14ac:dyDescent="0.3">
      <c r="A57" s="492" t="s">
        <v>148</v>
      </c>
      <c r="B57" s="493"/>
      <c r="C57" s="493"/>
      <c r="D57" s="493"/>
      <c r="E57" s="493"/>
      <c r="F57" s="493"/>
      <c r="G57" s="494"/>
      <c r="H57" s="495" t="s">
        <v>87</v>
      </c>
      <c r="I57" s="496"/>
      <c r="J57" s="496"/>
      <c r="K57" s="497"/>
      <c r="L57" s="497"/>
      <c r="M57" s="497"/>
      <c r="N57" s="497"/>
      <c r="O57" s="497"/>
      <c r="P57" s="498"/>
      <c r="Q57" s="495" t="s">
        <v>87</v>
      </c>
      <c r="R57" s="496"/>
      <c r="S57" s="499"/>
      <c r="T57" s="495" t="s">
        <v>87</v>
      </c>
      <c r="U57" s="496"/>
      <c r="V57" s="496"/>
      <c r="W57" s="499"/>
      <c r="X57" s="495" t="s">
        <v>77</v>
      </c>
      <c r="Y57" s="500"/>
      <c r="Z57" s="500"/>
      <c r="AA57" s="500"/>
      <c r="AB57" s="501"/>
      <c r="AC57" s="280"/>
      <c r="AD57" s="280"/>
    </row>
    <row r="58" spans="1:32" x14ac:dyDescent="0.25">
      <c r="A58" s="298" t="s">
        <v>139</v>
      </c>
      <c r="B58" s="275" t="s">
        <v>70</v>
      </c>
      <c r="C58" s="275" t="s">
        <v>142</v>
      </c>
      <c r="D58" s="275" t="s">
        <v>144</v>
      </c>
      <c r="E58" s="337" t="s">
        <v>151</v>
      </c>
      <c r="F58" s="337" t="s">
        <v>146</v>
      </c>
      <c r="G58" s="292" t="s">
        <v>147</v>
      </c>
      <c r="H58" s="274" t="s">
        <v>153</v>
      </c>
      <c r="I58" s="337" t="s">
        <v>154</v>
      </c>
      <c r="J58" s="292" t="s">
        <v>155</v>
      </c>
      <c r="K58" s="274" t="s">
        <v>156</v>
      </c>
      <c r="L58" s="337" t="s">
        <v>157</v>
      </c>
      <c r="M58" s="338" t="s">
        <v>158</v>
      </c>
      <c r="N58" s="274" t="s">
        <v>160</v>
      </c>
      <c r="O58" s="337" t="s">
        <v>161</v>
      </c>
      <c r="P58" s="292" t="s">
        <v>162</v>
      </c>
      <c r="Q58" s="274" t="s">
        <v>70</v>
      </c>
      <c r="R58" s="275" t="s">
        <v>72</v>
      </c>
      <c r="S58" s="276" t="s">
        <v>74</v>
      </c>
      <c r="T58" s="274" t="s">
        <v>70</v>
      </c>
      <c r="U58" s="275" t="s">
        <v>72</v>
      </c>
      <c r="V58" s="275" t="s">
        <v>74</v>
      </c>
      <c r="W58" s="276" t="s">
        <v>93</v>
      </c>
      <c r="X58" s="339" t="s">
        <v>81</v>
      </c>
      <c r="Y58" s="340" t="s">
        <v>79</v>
      </c>
      <c r="Z58" s="340" t="s">
        <v>82</v>
      </c>
      <c r="AA58" s="341" t="s">
        <v>83</v>
      </c>
      <c r="AB58" s="342" t="s">
        <v>91</v>
      </c>
      <c r="AC58" s="502" t="s">
        <v>94</v>
      </c>
      <c r="AD58" s="503"/>
      <c r="AE58" s="504"/>
    </row>
    <row r="59" spans="1:32" ht="13.2" thickBot="1" x14ac:dyDescent="0.3">
      <c r="A59" s="293" t="s">
        <v>141</v>
      </c>
      <c r="B59" s="294" t="s">
        <v>140</v>
      </c>
      <c r="C59" s="294" t="s">
        <v>143</v>
      </c>
      <c r="D59" s="294" t="s">
        <v>145</v>
      </c>
      <c r="E59" s="343" t="s">
        <v>89</v>
      </c>
      <c r="F59" s="343" t="s">
        <v>89</v>
      </c>
      <c r="G59" s="326" t="s">
        <v>152</v>
      </c>
      <c r="H59" s="293" t="s">
        <v>71</v>
      </c>
      <c r="I59" s="343" t="s">
        <v>71</v>
      </c>
      <c r="J59" s="326" t="s">
        <v>163</v>
      </c>
      <c r="K59" s="293" t="s">
        <v>73</v>
      </c>
      <c r="L59" s="343" t="s">
        <v>73</v>
      </c>
      <c r="M59" s="344" t="s">
        <v>163</v>
      </c>
      <c r="N59" s="293" t="s">
        <v>159</v>
      </c>
      <c r="O59" s="343" t="s">
        <v>159</v>
      </c>
      <c r="P59" s="326" t="s">
        <v>163</v>
      </c>
      <c r="Q59" s="293" t="s">
        <v>71</v>
      </c>
      <c r="R59" s="294" t="s">
        <v>73</v>
      </c>
      <c r="S59" s="295" t="s">
        <v>75</v>
      </c>
      <c r="T59" s="293" t="s">
        <v>71</v>
      </c>
      <c r="U59" s="294" t="s">
        <v>73</v>
      </c>
      <c r="V59" s="294" t="s">
        <v>75</v>
      </c>
      <c r="W59" s="295" t="s">
        <v>92</v>
      </c>
      <c r="X59" s="345" t="s">
        <v>73</v>
      </c>
      <c r="Y59" s="294" t="s">
        <v>73</v>
      </c>
      <c r="Z59" s="294" t="s">
        <v>75</v>
      </c>
      <c r="AA59" s="296" t="s">
        <v>75</v>
      </c>
      <c r="AB59" s="346" t="s">
        <v>92</v>
      </c>
      <c r="AC59" s="293" t="s">
        <v>72</v>
      </c>
      <c r="AD59" s="294" t="s">
        <v>74</v>
      </c>
      <c r="AE59" s="295" t="s">
        <v>93</v>
      </c>
    </row>
    <row r="60" spans="1:32" x14ac:dyDescent="0.25">
      <c r="A60" s="347">
        <v>6.7990000000000004</v>
      </c>
      <c r="B60" s="348">
        <v>2.0099999999999998</v>
      </c>
      <c r="C60" s="349">
        <v>2996.3</v>
      </c>
      <c r="D60" s="348">
        <v>27.52</v>
      </c>
      <c r="E60" s="350">
        <f>ROUND(C60*D60/9549,3)</f>
        <v>8.6349999999999998</v>
      </c>
      <c r="F60" s="351">
        <v>8.6340000000000003</v>
      </c>
      <c r="G60" s="352" t="str">
        <f>IF(OR(E60-F60&gt;0.001*F60,E60-F60&lt;(-0.001)*F60),"ALARM","OK")</f>
        <v>OK</v>
      </c>
      <c r="H60" s="353">
        <f>ROUNDUP((B60*6.28981)*(3500/C60),1)</f>
        <v>14.799999999999999</v>
      </c>
      <c r="I60" s="354">
        <v>14.78</v>
      </c>
      <c r="J60" s="355" t="str">
        <f>IF(OR(H60-I60&gt;0.005*I60,H60-I60&lt;(-0.005)*I60),"ALARM","OK")</f>
        <v>OK</v>
      </c>
      <c r="K60" s="356">
        <f>ROUNDUP(((A60-0.13)*(1000/9.81)*$C$56*3.28/$G$56)*(3500/C60)^2,2)</f>
        <v>35.799999999999997</v>
      </c>
      <c r="L60" s="348">
        <f>L73/$G$56</f>
        <v>35.869764705882353</v>
      </c>
      <c r="M60" s="430" t="str">
        <f t="shared" ref="M60:M70" si="12">IF(OR(K60-L60&gt;0.005*L60,K60-L60&lt;(-0.005)*L60),"ALARM","OK")</f>
        <v>OK</v>
      </c>
      <c r="N60" s="358">
        <f>ROUNDUP((F60/(0.746*$G$56))*(3500/C60)^3,3)</f>
        <v>0.218</v>
      </c>
      <c r="O60" s="348">
        <f>O73/$G$56</f>
        <v>0.2171176470588235</v>
      </c>
      <c r="P60" s="352" t="str">
        <f t="shared" ref="P60:P70" si="13">IF(OR(N60-O60&gt;0.005*O60,N60-O60&lt;(-0.005)*O60),"ALARM","OK")</f>
        <v>OK</v>
      </c>
      <c r="Q60" s="298">
        <v>0</v>
      </c>
      <c r="R60" s="299">
        <f>B9</f>
        <v>54.3</v>
      </c>
      <c r="S60" s="300">
        <f>C9</f>
        <v>2.8245</v>
      </c>
      <c r="T60" s="298">
        <v>0</v>
      </c>
      <c r="U60" s="299">
        <f>A53</f>
        <v>35.618090000000002</v>
      </c>
      <c r="V60" s="299">
        <f>G53</f>
        <v>0.2139162</v>
      </c>
      <c r="W60" s="359"/>
      <c r="X60" s="360"/>
      <c r="Y60" s="361"/>
      <c r="Z60" s="361"/>
      <c r="AA60" s="362"/>
      <c r="AB60" s="363"/>
      <c r="AC60" s="364"/>
      <c r="AD60" s="365"/>
      <c r="AE60" s="366"/>
    </row>
    <row r="61" spans="1:32" x14ac:dyDescent="0.25">
      <c r="A61" s="367">
        <v>6.4130000000000003</v>
      </c>
      <c r="B61" s="368">
        <v>95.76</v>
      </c>
      <c r="C61" s="369">
        <v>2996</v>
      </c>
      <c r="D61" s="368">
        <v>39.89</v>
      </c>
      <c r="E61" s="370">
        <f t="shared" ref="E61:E70" si="14">ROUND(C61*D61/9549,3)</f>
        <v>12.515000000000001</v>
      </c>
      <c r="F61" s="371">
        <v>12.510999999999999</v>
      </c>
      <c r="G61" s="372" t="str">
        <f t="shared" ref="G61:G70" si="15">IF(OR(E61-F61&gt;0.001*F61,E61-F61&lt;(-0.001)*F61),"ALARM","OK")</f>
        <v>OK</v>
      </c>
      <c r="H61" s="373">
        <f t="shared" ref="H61:H70" si="16">ROUNDUP((B61*6.28981)*(3500/C61),1)</f>
        <v>703.7</v>
      </c>
      <c r="I61" s="368">
        <v>703.64</v>
      </c>
      <c r="J61" s="372" t="str">
        <f t="shared" ref="J61:J70" si="17">IF(OR(H61-I61&gt;0.005*I61,H61-I61&lt;(-0.005)*I61),"ALARM","OK")</f>
        <v>OK</v>
      </c>
      <c r="K61" s="356">
        <f t="shared" ref="K61:K70" si="18">ROUNDUP(((A61-0.13)*(1000/9.81)*$C$56*3.28/$G$56)*(3500/C61)^2,2)</f>
        <v>33.729999999999997</v>
      </c>
      <c r="L61" s="348">
        <f t="shared" ref="L61:L67" si="19">L74/$G$56</f>
        <v>34.992588235294114</v>
      </c>
      <c r="M61" s="374" t="str">
        <f t="shared" si="12"/>
        <v>ALARM</v>
      </c>
      <c r="N61" s="375">
        <f t="shared" ref="N61:N70" si="20">ROUNDUP((F61/(0.746*$G$56))*(3500/C61)^3,3)</f>
        <v>0.315</v>
      </c>
      <c r="O61" s="348">
        <f t="shared" ref="O61:O67" si="21">O74/$G$56</f>
        <v>0.31468235294117647</v>
      </c>
      <c r="P61" s="372" t="str">
        <f t="shared" si="13"/>
        <v>OK</v>
      </c>
      <c r="Q61" s="307">
        <f>(Q60+Q62)/2</f>
        <v>250</v>
      </c>
      <c r="R61" s="308">
        <f t="shared" ref="R61:R72" si="22">$O$3+$P$3*Q61+$Q$3*Q61^2+$R$3*Q61^3+$S$3*Q61^4+$T$3*Q61^5</f>
        <v>53.22123634755566</v>
      </c>
      <c r="S61" s="309">
        <f t="shared" ref="S61:S72" si="23">$U$3+$V$3*Q61+$W$3*Q61^2+$X$3*Q61^3+$Y$3*Q61^4+$Z$3*Q61^5</f>
        <v>2.767020703856836</v>
      </c>
      <c r="T61" s="307">
        <f>(T60+T62)/2</f>
        <v>250</v>
      </c>
      <c r="U61" s="308">
        <f t="shared" ref="U61:U72" si="24">$A$53+$B$53*T61+$C$53*T61^2+$D$53*T61^3+$E$53*T61^4+$F$53*T61^5</f>
        <v>38.071920265625003</v>
      </c>
      <c r="V61" s="308">
        <f t="shared" ref="V61:V72" si="25">$G$53+$H$53*T61+$I$53*T61^2+$J$53*T61^3+$K$53*T61^4+$L$53*T61^5</f>
        <v>0.25981409734375005</v>
      </c>
      <c r="W61" s="376"/>
      <c r="X61" s="377"/>
      <c r="Y61" s="378"/>
      <c r="Z61" s="378"/>
      <c r="AA61" s="379"/>
      <c r="AB61" s="334"/>
      <c r="AC61" s="380"/>
      <c r="AD61" s="381"/>
      <c r="AE61" s="382"/>
    </row>
    <row r="62" spans="1:32" x14ac:dyDescent="0.25">
      <c r="A62" s="367">
        <v>6.242</v>
      </c>
      <c r="B62" s="368">
        <v>109.8</v>
      </c>
      <c r="C62" s="369">
        <v>2995</v>
      </c>
      <c r="D62" s="368">
        <v>41.47</v>
      </c>
      <c r="E62" s="370">
        <f t="shared" si="14"/>
        <v>13.007</v>
      </c>
      <c r="F62" s="371">
        <v>13.005000000000001</v>
      </c>
      <c r="G62" s="372" t="str">
        <f t="shared" si="15"/>
        <v>OK</v>
      </c>
      <c r="H62" s="383">
        <f t="shared" si="16"/>
        <v>807.1</v>
      </c>
      <c r="I62" s="368">
        <v>807.08</v>
      </c>
      <c r="J62" s="372" t="str">
        <f t="shared" si="17"/>
        <v>OK</v>
      </c>
      <c r="K62" s="356">
        <f t="shared" si="18"/>
        <v>32.839999999999996</v>
      </c>
      <c r="L62" s="348">
        <f t="shared" si="19"/>
        <v>32.917294117647053</v>
      </c>
      <c r="M62" s="431" t="str">
        <f t="shared" si="12"/>
        <v>OK</v>
      </c>
      <c r="N62" s="384">
        <f t="shared" si="20"/>
        <v>0.32800000000000001</v>
      </c>
      <c r="O62" s="348">
        <f t="shared" si="21"/>
        <v>0.32743529411764705</v>
      </c>
      <c r="P62" s="372" t="str">
        <f t="shared" si="13"/>
        <v>OK</v>
      </c>
      <c r="Q62" s="313">
        <f>$C$3</f>
        <v>500</v>
      </c>
      <c r="R62" s="314">
        <f t="shared" si="22"/>
        <v>52.245569806781255</v>
      </c>
      <c r="S62" s="315">
        <f t="shared" si="23"/>
        <v>2.7212485692937505</v>
      </c>
      <c r="T62" s="313">
        <f>$C$3</f>
        <v>500</v>
      </c>
      <c r="U62" s="314">
        <f t="shared" si="24"/>
        <v>37.418197124999992</v>
      </c>
      <c r="V62" s="314">
        <f t="shared" si="25"/>
        <v>0.29478125374999997</v>
      </c>
      <c r="W62" s="385">
        <f t="shared" ref="W62:W70" si="26">(T62*U62*100)/(135788*V62)</f>
        <v>46.740312270365145</v>
      </c>
      <c r="X62" s="386">
        <f t="shared" ref="X62:X70" si="27">E11</f>
        <v>54.956140493918511</v>
      </c>
      <c r="Y62" s="387">
        <f t="shared" ref="Y62:AA70" si="28">G11</f>
        <v>49.545116731677162</v>
      </c>
      <c r="Z62" s="387">
        <f t="shared" si="28"/>
        <v>2.5035486837502505</v>
      </c>
      <c r="AA62" s="387">
        <f t="shared" si="28"/>
        <v>2.9389484548372509</v>
      </c>
      <c r="AB62" s="334"/>
      <c r="AC62" s="388" t="str">
        <f t="shared" ref="AC62:AC70" si="29">IF(OR(U62&gt;X62,U62&lt;Y62),"FAIL","PASS")</f>
        <v>FAIL</v>
      </c>
      <c r="AD62" s="389" t="str">
        <f t="shared" ref="AD62:AD70" si="30">IF(OR(V62&gt;AA62,V62&lt;Z62),"FAIL","PASS")</f>
        <v>FAIL</v>
      </c>
      <c r="AE62" s="390"/>
      <c r="AF62" s="391" t="s">
        <v>95</v>
      </c>
    </row>
    <row r="63" spans="1:32" x14ac:dyDescent="0.25">
      <c r="A63" s="367">
        <v>5.94</v>
      </c>
      <c r="B63" s="368">
        <v>124.06</v>
      </c>
      <c r="C63" s="369">
        <v>2994</v>
      </c>
      <c r="D63" s="368">
        <v>42.81</v>
      </c>
      <c r="E63" s="370">
        <f t="shared" si="14"/>
        <v>13.423</v>
      </c>
      <c r="F63" s="371">
        <v>13.417999999999999</v>
      </c>
      <c r="G63" s="372" t="str">
        <f t="shared" si="15"/>
        <v>OK</v>
      </c>
      <c r="H63" s="373">
        <f t="shared" si="16"/>
        <v>912.2</v>
      </c>
      <c r="I63" s="368">
        <v>912.17</v>
      </c>
      <c r="J63" s="372" t="str">
        <f t="shared" si="17"/>
        <v>OK</v>
      </c>
      <c r="K63" s="356">
        <f t="shared" si="18"/>
        <v>31.240000000000002</v>
      </c>
      <c r="L63" s="348">
        <f t="shared" si="19"/>
        <v>31.318352941176471</v>
      </c>
      <c r="M63" s="431" t="str">
        <f t="shared" si="12"/>
        <v>OK</v>
      </c>
      <c r="N63" s="392">
        <f t="shared" si="20"/>
        <v>0.33900000000000002</v>
      </c>
      <c r="O63" s="348">
        <f t="shared" si="21"/>
        <v>0.33816470588235292</v>
      </c>
      <c r="P63" s="372" t="str">
        <f t="shared" si="13"/>
        <v>OK</v>
      </c>
      <c r="Q63" s="307">
        <f>(Q62+Q64)/2</f>
        <v>2275</v>
      </c>
      <c r="R63" s="308">
        <f t="shared" si="22"/>
        <v>46.598216124680064</v>
      </c>
      <c r="S63" s="309">
        <f t="shared" si="23"/>
        <v>2.5884125314547242</v>
      </c>
      <c r="T63" s="307">
        <f>(T62+T64)/2</f>
        <v>2275</v>
      </c>
      <c r="U63" s="308">
        <f t="shared" si="24"/>
        <v>-5.4772018839531285</v>
      </c>
      <c r="V63" s="308">
        <f t="shared" si="25"/>
        <v>0.46552212478328137</v>
      </c>
      <c r="W63" s="393">
        <f t="shared" si="26"/>
        <v>-19.712351366049489</v>
      </c>
      <c r="X63" s="394">
        <f t="shared" si="27"/>
        <v>49.294480775551101</v>
      </c>
      <c r="Y63" s="395">
        <f t="shared" si="28"/>
        <v>43.933824081786462</v>
      </c>
      <c r="Z63" s="395">
        <f t="shared" si="28"/>
        <v>2.3813395289383466</v>
      </c>
      <c r="AA63" s="395">
        <f t="shared" si="28"/>
        <v>2.7954855339711022</v>
      </c>
      <c r="AB63" s="334"/>
      <c r="AC63" s="396" t="str">
        <f t="shared" si="29"/>
        <v>FAIL</v>
      </c>
      <c r="AD63" s="397" t="str">
        <f t="shared" si="30"/>
        <v>FAIL</v>
      </c>
      <c r="AE63" s="390"/>
    </row>
    <row r="64" spans="1:32" x14ac:dyDescent="0.25">
      <c r="A64" s="367">
        <v>5.5430000000000001</v>
      </c>
      <c r="B64" s="368">
        <v>137.34</v>
      </c>
      <c r="C64" s="369">
        <v>2993.6</v>
      </c>
      <c r="D64" s="368">
        <v>43.71</v>
      </c>
      <c r="E64" s="370">
        <f t="shared" si="14"/>
        <v>13.702999999999999</v>
      </c>
      <c r="F64" s="371">
        <v>13.7</v>
      </c>
      <c r="G64" s="372" t="str">
        <f t="shared" si="15"/>
        <v>OK</v>
      </c>
      <c r="H64" s="373">
        <f t="shared" si="16"/>
        <v>1010</v>
      </c>
      <c r="I64" s="368">
        <v>1009.98</v>
      </c>
      <c r="J64" s="372" t="str">
        <f t="shared" si="17"/>
        <v>OK</v>
      </c>
      <c r="K64" s="356">
        <f t="shared" si="18"/>
        <v>29.110000000000003</v>
      </c>
      <c r="L64" s="348">
        <f t="shared" si="19"/>
        <v>29.196823529411766</v>
      </c>
      <c r="M64" s="431" t="str">
        <f t="shared" si="12"/>
        <v>OK</v>
      </c>
      <c r="N64" s="392">
        <f t="shared" si="20"/>
        <v>0.34599999999999997</v>
      </c>
      <c r="O64" s="348">
        <f t="shared" si="21"/>
        <v>0.34543529411764706</v>
      </c>
      <c r="P64" s="372" t="str">
        <f t="shared" si="13"/>
        <v>OK</v>
      </c>
      <c r="Q64" s="307">
        <f>(Q62+Q66)/2</f>
        <v>4050</v>
      </c>
      <c r="R64" s="308">
        <f t="shared" si="22"/>
        <v>40.537465397409534</v>
      </c>
      <c r="S64" s="309">
        <f t="shared" si="23"/>
        <v>2.5398848447232392</v>
      </c>
      <c r="T64" s="307">
        <f>(T62+T66)/2</f>
        <v>4050</v>
      </c>
      <c r="U64" s="308">
        <f t="shared" si="24"/>
        <v>34.208494152125013</v>
      </c>
      <c r="V64" s="308">
        <f t="shared" si="25"/>
        <v>1.1937221682787502</v>
      </c>
      <c r="W64" s="393">
        <f t="shared" si="26"/>
        <v>85.472091151106255</v>
      </c>
      <c r="X64" s="394">
        <f t="shared" si="27"/>
        <v>43.360902274433364</v>
      </c>
      <c r="Y64" s="395">
        <f t="shared" si="28"/>
        <v>37.774785601973889</v>
      </c>
      <c r="Z64" s="395">
        <f t="shared" si="28"/>
        <v>2.33669405714538</v>
      </c>
      <c r="AA64" s="395">
        <f t="shared" si="28"/>
        <v>2.7430756323010983</v>
      </c>
      <c r="AB64" s="334"/>
      <c r="AC64" s="396" t="str">
        <f t="shared" si="29"/>
        <v>FAIL</v>
      </c>
      <c r="AD64" s="397" t="str">
        <f t="shared" si="30"/>
        <v>FAIL</v>
      </c>
      <c r="AE64" s="390"/>
    </row>
    <row r="65" spans="1:32" x14ac:dyDescent="0.25">
      <c r="A65" s="367">
        <v>5.1970000000000001</v>
      </c>
      <c r="B65" s="368">
        <v>147.13</v>
      </c>
      <c r="C65" s="369">
        <v>2993.3</v>
      </c>
      <c r="D65" s="368">
        <v>44.03</v>
      </c>
      <c r="E65" s="370">
        <f t="shared" si="14"/>
        <v>13.802</v>
      </c>
      <c r="F65" s="371">
        <v>13.797000000000001</v>
      </c>
      <c r="G65" s="372" t="str">
        <f t="shared" si="15"/>
        <v>OK</v>
      </c>
      <c r="H65" s="373">
        <f t="shared" si="16"/>
        <v>1082.0999999999999</v>
      </c>
      <c r="I65" s="368">
        <v>1082.0999999999999</v>
      </c>
      <c r="J65" s="372" t="str">
        <f t="shared" si="17"/>
        <v>OK</v>
      </c>
      <c r="K65" s="356">
        <f t="shared" si="18"/>
        <v>27.26</v>
      </c>
      <c r="L65" s="348">
        <f t="shared" si="19"/>
        <v>27.342117647058824</v>
      </c>
      <c r="M65" s="431" t="str">
        <f t="shared" si="12"/>
        <v>OK</v>
      </c>
      <c r="N65" s="392">
        <f t="shared" si="20"/>
        <v>0.34799999999999998</v>
      </c>
      <c r="O65" s="348">
        <f t="shared" si="21"/>
        <v>0.34796470588235295</v>
      </c>
      <c r="P65" s="372" t="str">
        <f t="shared" si="13"/>
        <v>OK</v>
      </c>
      <c r="Q65" s="307">
        <f>(Q64+Q66)/2</f>
        <v>5825</v>
      </c>
      <c r="R65" s="308">
        <f t="shared" si="22"/>
        <v>33.399631371634094</v>
      </c>
      <c r="S65" s="309">
        <f t="shared" si="23"/>
        <v>2.4580554235397249</v>
      </c>
      <c r="T65" s="307">
        <f>(T64+T66)/2</f>
        <v>5825</v>
      </c>
      <c r="U65" s="308">
        <f t="shared" si="24"/>
        <v>366.17322622139079</v>
      </c>
      <c r="V65" s="308">
        <f t="shared" si="25"/>
        <v>3.4510100933923442</v>
      </c>
      <c r="W65" s="393">
        <f t="shared" si="26"/>
        <v>455.17132552680732</v>
      </c>
      <c r="X65" s="394">
        <f t="shared" si="27"/>
        <v>36.332462867010086</v>
      </c>
      <c r="Y65" s="395">
        <f t="shared" si="28"/>
        <v>30.589236341325019</v>
      </c>
      <c r="Z65" s="395">
        <f t="shared" si="28"/>
        <v>2.2614109896565471</v>
      </c>
      <c r="AA65" s="395">
        <f t="shared" si="28"/>
        <v>2.6546998574229033</v>
      </c>
      <c r="AB65" s="334"/>
      <c r="AC65" s="396" t="str">
        <f t="shared" si="29"/>
        <v>FAIL</v>
      </c>
      <c r="AD65" s="397" t="str">
        <f t="shared" si="30"/>
        <v>FAIL</v>
      </c>
      <c r="AE65" s="390"/>
    </row>
    <row r="66" spans="1:32" x14ac:dyDescent="0.25">
      <c r="A66" s="367">
        <v>4.7939999999999996</v>
      </c>
      <c r="B66" s="368">
        <v>155.34</v>
      </c>
      <c r="C66" s="369">
        <v>2994.3</v>
      </c>
      <c r="D66" s="368">
        <v>44.53</v>
      </c>
      <c r="E66" s="370">
        <f t="shared" si="14"/>
        <v>13.962999999999999</v>
      </c>
      <c r="F66" s="371">
        <v>13.96</v>
      </c>
      <c r="G66" s="372" t="str">
        <f t="shared" si="15"/>
        <v>OK</v>
      </c>
      <c r="H66" s="383">
        <f t="shared" si="16"/>
        <v>1142.0999999999999</v>
      </c>
      <c r="I66" s="368">
        <v>1142.08</v>
      </c>
      <c r="J66" s="372" t="str">
        <f t="shared" si="17"/>
        <v>OK</v>
      </c>
      <c r="K66" s="356">
        <f t="shared" si="18"/>
        <v>25.07</v>
      </c>
      <c r="L66" s="348">
        <f t="shared" si="19"/>
        <v>25.161176470588234</v>
      </c>
      <c r="M66" s="431" t="str">
        <f t="shared" si="12"/>
        <v>OK</v>
      </c>
      <c r="N66" s="384">
        <f t="shared" si="20"/>
        <v>0.35199999999999998</v>
      </c>
      <c r="O66" s="348">
        <f t="shared" si="21"/>
        <v>0.35174117647058822</v>
      </c>
      <c r="P66" s="372" t="str">
        <f t="shared" si="13"/>
        <v>OK</v>
      </c>
      <c r="Q66" s="313">
        <f>$F$3</f>
        <v>7600</v>
      </c>
      <c r="R66" s="314">
        <f t="shared" si="22"/>
        <v>26.279702160517104</v>
      </c>
      <c r="S66" s="315">
        <f t="shared" si="23"/>
        <v>2.3771875742807049</v>
      </c>
      <c r="T66" s="313">
        <f>$F$3</f>
        <v>7600</v>
      </c>
      <c r="U66" s="314">
        <f t="shared" si="24"/>
        <v>1200.1149353120002</v>
      </c>
      <c r="V66" s="314">
        <f t="shared" si="25"/>
        <v>8.2090146092800005</v>
      </c>
      <c r="W66" s="385">
        <f t="shared" si="26"/>
        <v>818.24622910959454</v>
      </c>
      <c r="X66" s="386">
        <f t="shared" si="27"/>
        <v>29.142190385995498</v>
      </c>
      <c r="Y66" s="387">
        <f t="shared" si="28"/>
        <v>23.589097694949103</v>
      </c>
      <c r="Z66" s="387">
        <f t="shared" si="28"/>
        <v>2.1870125683382486</v>
      </c>
      <c r="AA66" s="387">
        <f t="shared" si="28"/>
        <v>2.5673625802231617</v>
      </c>
      <c r="AB66" s="398">
        <f>0.9*I3</f>
        <v>55.693060246852674</v>
      </c>
      <c r="AC66" s="388" t="str">
        <f t="shared" si="29"/>
        <v>FAIL</v>
      </c>
      <c r="AD66" s="389" t="str">
        <f t="shared" si="30"/>
        <v>FAIL</v>
      </c>
      <c r="AE66" s="399" t="str">
        <f>IF(W66&lt;AB66,"FAIL","PASS")</f>
        <v>PASS</v>
      </c>
      <c r="AF66" s="391" t="s">
        <v>96</v>
      </c>
    </row>
    <row r="67" spans="1:32" x14ac:dyDescent="0.25">
      <c r="A67" s="367">
        <v>1.9E-2</v>
      </c>
      <c r="B67" s="368">
        <v>276.57</v>
      </c>
      <c r="C67" s="369">
        <v>2994.4</v>
      </c>
      <c r="D67" s="368">
        <v>54.6</v>
      </c>
      <c r="E67" s="370">
        <f t="shared" si="14"/>
        <v>17.122</v>
      </c>
      <c r="F67" s="371">
        <v>17.116</v>
      </c>
      <c r="G67" s="372" t="str">
        <f t="shared" si="15"/>
        <v>OK</v>
      </c>
      <c r="H67" s="373">
        <f t="shared" si="16"/>
        <v>2033.3</v>
      </c>
      <c r="I67" s="368">
        <v>2033.3</v>
      </c>
      <c r="J67" s="372" t="str">
        <f t="shared" si="17"/>
        <v>OK</v>
      </c>
      <c r="K67" s="356">
        <f t="shared" si="18"/>
        <v>-0.6</v>
      </c>
      <c r="L67" s="348">
        <f t="shared" si="19"/>
        <v>0.1851764705882353</v>
      </c>
      <c r="M67" s="374" t="str">
        <f t="shared" si="12"/>
        <v>ALARM</v>
      </c>
      <c r="N67" s="392">
        <f t="shared" si="20"/>
        <v>0.432</v>
      </c>
      <c r="O67" s="348">
        <f t="shared" si="21"/>
        <v>0.43120000000000003</v>
      </c>
      <c r="P67" s="372" t="str">
        <f t="shared" si="13"/>
        <v>OK</v>
      </c>
      <c r="Q67" s="307">
        <f>(Q66+Q68)/2</f>
        <v>8450</v>
      </c>
      <c r="R67" s="308">
        <f t="shared" si="22"/>
        <v>23.055908562691634</v>
      </c>
      <c r="S67" s="309">
        <f t="shared" si="23"/>
        <v>2.3464532565127567</v>
      </c>
      <c r="T67" s="307">
        <f>(T66+T68)/2</f>
        <v>8450</v>
      </c>
      <c r="U67" s="308">
        <f t="shared" si="24"/>
        <v>1838.5703777291253</v>
      </c>
      <c r="V67" s="308">
        <f t="shared" si="25"/>
        <v>11.657276052908752</v>
      </c>
      <c r="W67" s="393">
        <f t="shared" si="26"/>
        <v>981.47331208978085</v>
      </c>
      <c r="X67" s="394">
        <f t="shared" si="27"/>
        <v>25.883351678633328</v>
      </c>
      <c r="Y67" s="395">
        <f t="shared" si="28"/>
        <v>20.373858005058374</v>
      </c>
      <c r="Z67" s="395">
        <f t="shared" si="28"/>
        <v>2.1587369959917364</v>
      </c>
      <c r="AA67" s="395">
        <f t="shared" si="28"/>
        <v>2.5341695170337775</v>
      </c>
      <c r="AB67" s="334"/>
      <c r="AC67" s="396" t="str">
        <f t="shared" si="29"/>
        <v>FAIL</v>
      </c>
      <c r="AD67" s="397" t="str">
        <f t="shared" si="30"/>
        <v>FAIL</v>
      </c>
      <c r="AE67" s="390"/>
    </row>
    <row r="68" spans="1:32" x14ac:dyDescent="0.25">
      <c r="A68" s="367"/>
      <c r="B68" s="368"/>
      <c r="C68" s="369"/>
      <c r="D68" s="368"/>
      <c r="E68" s="370">
        <f t="shared" si="14"/>
        <v>0</v>
      </c>
      <c r="F68" s="371"/>
      <c r="G68" s="372" t="str">
        <f t="shared" si="15"/>
        <v>OK</v>
      </c>
      <c r="H68" s="373" t="e">
        <f t="shared" si="16"/>
        <v>#DIV/0!</v>
      </c>
      <c r="I68" s="368"/>
      <c r="J68" s="372" t="e">
        <f t="shared" si="17"/>
        <v>#DIV/0!</v>
      </c>
      <c r="K68" s="356" t="e">
        <f t="shared" si="18"/>
        <v>#DIV/0!</v>
      </c>
      <c r="L68" s="368"/>
      <c r="M68" s="374" t="e">
        <f t="shared" si="12"/>
        <v>#DIV/0!</v>
      </c>
      <c r="N68" s="392" t="e">
        <f t="shared" si="20"/>
        <v>#DIV/0!</v>
      </c>
      <c r="O68" s="371"/>
      <c r="P68" s="372" t="e">
        <f t="shared" si="13"/>
        <v>#DIV/0!</v>
      </c>
      <c r="Q68" s="307">
        <f>(Q66+Q70)/2</f>
        <v>9300</v>
      </c>
      <c r="R68" s="308">
        <f t="shared" si="22"/>
        <v>19.756738027207419</v>
      </c>
      <c r="S68" s="309">
        <f t="shared" si="23"/>
        <v>2.308011977164421</v>
      </c>
      <c r="T68" s="307">
        <f>(T66+T70)/2</f>
        <v>9300</v>
      </c>
      <c r="U68" s="308">
        <f t="shared" si="24"/>
        <v>2663.254794509</v>
      </c>
      <c r="V68" s="308">
        <f t="shared" si="25"/>
        <v>16.008513676710002</v>
      </c>
      <c r="W68" s="393">
        <f t="shared" si="26"/>
        <v>1139.4184907256256</v>
      </c>
      <c r="X68" s="394">
        <f t="shared" si="27"/>
        <v>22.670211021019703</v>
      </c>
      <c r="Y68" s="395">
        <f t="shared" si="28"/>
        <v>16.886386393688504</v>
      </c>
      <c r="Z68" s="395">
        <f t="shared" si="28"/>
        <v>2.1233710189912673</v>
      </c>
      <c r="AA68" s="395">
        <f t="shared" si="28"/>
        <v>2.4926529353375746</v>
      </c>
      <c r="AB68" s="334"/>
      <c r="AC68" s="396" t="str">
        <f t="shared" si="29"/>
        <v>FAIL</v>
      </c>
      <c r="AD68" s="397" t="str">
        <f t="shared" si="30"/>
        <v>FAIL</v>
      </c>
      <c r="AE68" s="390"/>
    </row>
    <row r="69" spans="1:32" x14ac:dyDescent="0.25">
      <c r="A69" s="367"/>
      <c r="B69" s="368"/>
      <c r="C69" s="369"/>
      <c r="D69" s="368"/>
      <c r="E69" s="370">
        <f t="shared" si="14"/>
        <v>0</v>
      </c>
      <c r="F69" s="371"/>
      <c r="G69" s="372" t="str">
        <f t="shared" si="15"/>
        <v>OK</v>
      </c>
      <c r="H69" s="373" t="e">
        <f t="shared" si="16"/>
        <v>#DIV/0!</v>
      </c>
      <c r="I69" s="368"/>
      <c r="J69" s="372" t="e">
        <f t="shared" si="17"/>
        <v>#DIV/0!</v>
      </c>
      <c r="K69" s="356" t="e">
        <f t="shared" si="18"/>
        <v>#DIV/0!</v>
      </c>
      <c r="L69" s="368"/>
      <c r="M69" s="374" t="e">
        <f t="shared" si="12"/>
        <v>#DIV/0!</v>
      </c>
      <c r="N69" s="392" t="e">
        <f t="shared" si="20"/>
        <v>#DIV/0!</v>
      </c>
      <c r="O69" s="371"/>
      <c r="P69" s="372" t="e">
        <f t="shared" si="13"/>
        <v>#DIV/0!</v>
      </c>
      <c r="Q69" s="307">
        <f>(Q68+Q70)/2</f>
        <v>10150</v>
      </c>
      <c r="R69" s="308">
        <f t="shared" si="22"/>
        <v>15.946139712867335</v>
      </c>
      <c r="S69" s="309">
        <f t="shared" si="23"/>
        <v>2.2339832894354554</v>
      </c>
      <c r="T69" s="307">
        <f>(T68+T70)/2</f>
        <v>10150</v>
      </c>
      <c r="U69" s="308">
        <f t="shared" si="24"/>
        <v>3697.1961671123754</v>
      </c>
      <c r="V69" s="308">
        <f t="shared" si="25"/>
        <v>21.36942689697625</v>
      </c>
      <c r="W69" s="393">
        <f t="shared" si="26"/>
        <v>1293.2553080834293</v>
      </c>
      <c r="X69" s="394">
        <f t="shared" si="27"/>
        <v>19.232937014906632</v>
      </c>
      <c r="Y69" s="395">
        <f t="shared" si="28"/>
        <v>12.477690658235751</v>
      </c>
      <c r="Z69" s="395">
        <f t="shared" si="28"/>
        <v>2.0552646262806191</v>
      </c>
      <c r="AA69" s="395">
        <f t="shared" si="28"/>
        <v>2.4127019525902922</v>
      </c>
      <c r="AB69" s="334"/>
      <c r="AC69" s="396" t="str">
        <f t="shared" si="29"/>
        <v>FAIL</v>
      </c>
      <c r="AD69" s="397" t="str">
        <f t="shared" si="30"/>
        <v>FAIL</v>
      </c>
      <c r="AE69" s="390"/>
    </row>
    <row r="70" spans="1:32" x14ac:dyDescent="0.25">
      <c r="A70" s="367"/>
      <c r="B70" s="368"/>
      <c r="C70" s="369"/>
      <c r="D70" s="368"/>
      <c r="E70" s="370">
        <f t="shared" si="14"/>
        <v>0</v>
      </c>
      <c r="F70" s="371"/>
      <c r="G70" s="372" t="str">
        <f t="shared" si="15"/>
        <v>OK</v>
      </c>
      <c r="H70" s="383" t="e">
        <f t="shared" si="16"/>
        <v>#DIV/0!</v>
      </c>
      <c r="I70" s="368"/>
      <c r="J70" s="372" t="e">
        <f t="shared" si="17"/>
        <v>#DIV/0!</v>
      </c>
      <c r="K70" s="356" t="e">
        <f t="shared" si="18"/>
        <v>#DIV/0!</v>
      </c>
      <c r="L70" s="368"/>
      <c r="M70" s="374" t="e">
        <f t="shared" si="12"/>
        <v>#DIV/0!</v>
      </c>
      <c r="N70" s="384" t="e">
        <f t="shared" si="20"/>
        <v>#DIV/0!</v>
      </c>
      <c r="O70" s="371"/>
      <c r="P70" s="372" t="e">
        <f t="shared" si="13"/>
        <v>#DIV/0!</v>
      </c>
      <c r="Q70" s="313">
        <f>$J$3</f>
        <v>11000</v>
      </c>
      <c r="R70" s="314">
        <f t="shared" si="22"/>
        <v>10.878983427000009</v>
      </c>
      <c r="S70" s="315">
        <f t="shared" si="23"/>
        <v>2.0764822614000007</v>
      </c>
      <c r="T70" s="313">
        <f>$J$3</f>
        <v>11000</v>
      </c>
      <c r="U70" s="314">
        <f t="shared" si="24"/>
        <v>4963.4224770000001</v>
      </c>
      <c r="V70" s="314">
        <f t="shared" si="25"/>
        <v>27.84671513</v>
      </c>
      <c r="W70" s="385">
        <f t="shared" si="26"/>
        <v>1443.9048144915009</v>
      </c>
      <c r="X70" s="386">
        <f t="shared" si="27"/>
        <v>15.06778191805973</v>
      </c>
      <c r="Y70" s="387">
        <f t="shared" si="28"/>
        <v>6.100804721708883</v>
      </c>
      <c r="Z70" s="387">
        <f t="shared" si="28"/>
        <v>1.9103636804880006</v>
      </c>
      <c r="AA70" s="387">
        <f t="shared" si="28"/>
        <v>2.242600842312001</v>
      </c>
      <c r="AB70" s="334"/>
      <c r="AC70" s="388" t="str">
        <f t="shared" si="29"/>
        <v>FAIL</v>
      </c>
      <c r="AD70" s="389" t="str">
        <f t="shared" si="30"/>
        <v>FAIL</v>
      </c>
      <c r="AE70" s="390"/>
      <c r="AF70" s="400" t="s">
        <v>97</v>
      </c>
    </row>
    <row r="71" spans="1:32" x14ac:dyDescent="0.25">
      <c r="A71" s="367"/>
      <c r="B71" s="368"/>
      <c r="C71" s="369"/>
      <c r="D71" s="368"/>
      <c r="E71" s="310"/>
      <c r="F71" s="371"/>
      <c r="G71" s="311"/>
      <c r="H71" s="401"/>
      <c r="I71" s="368"/>
      <c r="J71" s="311"/>
      <c r="K71" s="402"/>
      <c r="L71" s="368"/>
      <c r="M71" s="403"/>
      <c r="N71" s="404"/>
      <c r="O71" s="371"/>
      <c r="P71" s="311"/>
      <c r="Q71" s="307">
        <f>(Q70+Q72)/2</f>
        <v>11500</v>
      </c>
      <c r="R71" s="308">
        <f t="shared" si="22"/>
        <v>6.8777239709687876</v>
      </c>
      <c r="S71" s="309">
        <f t="shared" si="23"/>
        <v>1.9168084970062509</v>
      </c>
      <c r="T71" s="307">
        <f>(T70+T72)/2</f>
        <v>11500</v>
      </c>
      <c r="U71" s="308">
        <f t="shared" si="24"/>
        <v>5826.0488498750001</v>
      </c>
      <c r="V71" s="308">
        <f t="shared" si="25"/>
        <v>32.221375926249998</v>
      </c>
      <c r="W71" s="376"/>
      <c r="X71" s="377"/>
      <c r="Y71" s="378"/>
      <c r="Z71" s="378"/>
      <c r="AA71" s="379"/>
      <c r="AB71" s="334"/>
      <c r="AC71" s="380"/>
      <c r="AD71" s="381"/>
      <c r="AE71" s="382"/>
    </row>
    <row r="72" spans="1:32" ht="13.2" thickBot="1" x14ac:dyDescent="0.3">
      <c r="A72" s="405"/>
      <c r="B72" s="406"/>
      <c r="C72" s="407"/>
      <c r="D72" s="406"/>
      <c r="E72" s="325"/>
      <c r="F72" s="408"/>
      <c r="G72" s="326"/>
      <c r="H72" s="409"/>
      <c r="I72" s="421"/>
      <c r="J72" s="326"/>
      <c r="K72" s="410"/>
      <c r="L72" s="406"/>
      <c r="M72" s="344"/>
      <c r="N72" s="411"/>
      <c r="O72" s="408"/>
      <c r="P72" s="326"/>
      <c r="Q72" s="322">
        <f>$N$3</f>
        <v>12000</v>
      </c>
      <c r="R72" s="323">
        <f t="shared" si="22"/>
        <v>1.7660538239999255</v>
      </c>
      <c r="S72" s="324">
        <f t="shared" si="23"/>
        <v>1.6844520287999956</v>
      </c>
      <c r="T72" s="322">
        <f>$N$3</f>
        <v>12000</v>
      </c>
      <c r="U72" s="323">
        <f t="shared" si="24"/>
        <v>6781.7059460000009</v>
      </c>
      <c r="V72" s="323">
        <f t="shared" si="25"/>
        <v>37.040963640000001</v>
      </c>
      <c r="W72" s="412"/>
      <c r="X72" s="413"/>
      <c r="Y72" s="414"/>
      <c r="Z72" s="414"/>
      <c r="AA72" s="415"/>
      <c r="AB72" s="416"/>
      <c r="AC72" s="417"/>
      <c r="AD72" s="418"/>
      <c r="AE72" s="419"/>
    </row>
    <row r="73" spans="1:32" x14ac:dyDescent="0.25">
      <c r="I73" s="422"/>
      <c r="L73" s="422">
        <v>3048.93</v>
      </c>
      <c r="O73" s="422">
        <v>18.454999999999998</v>
      </c>
    </row>
    <row r="74" spans="1:32" x14ac:dyDescent="0.25">
      <c r="I74" s="422"/>
      <c r="L74" s="422">
        <v>2974.37</v>
      </c>
      <c r="O74" s="422">
        <v>26.748000000000001</v>
      </c>
    </row>
    <row r="75" spans="1:32" x14ac:dyDescent="0.25">
      <c r="I75" s="422"/>
      <c r="L75" s="422">
        <v>2797.97</v>
      </c>
      <c r="O75" s="422">
        <v>27.832000000000001</v>
      </c>
    </row>
    <row r="76" spans="1:32" x14ac:dyDescent="0.25">
      <c r="I76" s="422"/>
      <c r="L76" s="422">
        <v>2662.06</v>
      </c>
      <c r="O76" s="422">
        <v>28.744</v>
      </c>
    </row>
    <row r="77" spans="1:32" x14ac:dyDescent="0.25">
      <c r="I77" s="422"/>
      <c r="L77" s="422">
        <v>2481.73</v>
      </c>
      <c r="O77" s="422">
        <v>29.361999999999998</v>
      </c>
    </row>
    <row r="78" spans="1:32" x14ac:dyDescent="0.25">
      <c r="I78" s="422"/>
      <c r="L78" s="422">
        <v>2324.08</v>
      </c>
      <c r="O78" s="422">
        <v>29.577000000000002</v>
      </c>
    </row>
    <row r="79" spans="1:32" x14ac:dyDescent="0.25">
      <c r="I79" s="422"/>
      <c r="L79" s="422">
        <v>2138.6999999999998</v>
      </c>
      <c r="O79" s="422">
        <v>29.898</v>
      </c>
    </row>
    <row r="80" spans="1:32" x14ac:dyDescent="0.25">
      <c r="I80" s="422"/>
      <c r="L80" s="422">
        <v>15.74</v>
      </c>
      <c r="O80" s="422">
        <v>36.652000000000001</v>
      </c>
    </row>
  </sheetData>
  <mergeCells count="26">
    <mergeCell ref="X49:Y49"/>
    <mergeCell ref="A1:N1"/>
    <mergeCell ref="O1:T1"/>
    <mergeCell ref="U1:Z1"/>
    <mergeCell ref="AA1:AF1"/>
    <mergeCell ref="A4:N4"/>
    <mergeCell ref="A5:C5"/>
    <mergeCell ref="D5:I5"/>
    <mergeCell ref="AA5:AD5"/>
    <mergeCell ref="D6:E6"/>
    <mergeCell ref="F6:G6"/>
    <mergeCell ref="J8:M8"/>
    <mergeCell ref="J11:M11"/>
    <mergeCell ref="J14:M14"/>
    <mergeCell ref="AC58:AE58"/>
    <mergeCell ref="A51:L51"/>
    <mergeCell ref="A56:B56"/>
    <mergeCell ref="D56:F56"/>
    <mergeCell ref="H56:P56"/>
    <mergeCell ref="Q56:S56"/>
    <mergeCell ref="T56:W56"/>
    <mergeCell ref="A57:G57"/>
    <mergeCell ref="H57:P57"/>
    <mergeCell ref="Q57:S57"/>
    <mergeCell ref="T57:W57"/>
    <mergeCell ref="X57:AB57"/>
  </mergeCells>
  <pageMargins left="0.75" right="0.75" top="1" bottom="1" header="0.5" footer="0.5"/>
  <pageSetup paperSize="3" scale="53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80"/>
  <sheetViews>
    <sheetView topLeftCell="M1" zoomScale="90" zoomScaleNormal="90" workbookViewId="0">
      <selection activeCell="AC24" sqref="AC24"/>
    </sheetView>
  </sheetViews>
  <sheetFormatPr defaultRowHeight="12.6" x14ac:dyDescent="0.25"/>
  <cols>
    <col min="1" max="1" width="12.6640625" style="255" customWidth="1"/>
    <col min="2" max="2" width="14.109375" style="255" bestFit="1" customWidth="1"/>
    <col min="3" max="3" width="15.33203125" style="255" bestFit="1" customWidth="1"/>
    <col min="4" max="4" width="14.109375" style="255" bestFit="1" customWidth="1"/>
    <col min="5" max="5" width="13" style="255" bestFit="1" customWidth="1"/>
    <col min="6" max="6" width="13.33203125" style="255" bestFit="1" customWidth="1"/>
    <col min="7" max="7" width="13.88671875" style="255" bestFit="1" customWidth="1"/>
    <col min="8" max="8" width="13.5546875" style="255" bestFit="1" customWidth="1"/>
    <col min="9" max="9" width="14.109375" style="255" bestFit="1" customWidth="1"/>
    <col min="10" max="10" width="14.44140625" style="255" bestFit="1" customWidth="1"/>
    <col min="11" max="11" width="13.88671875" style="255" bestFit="1" customWidth="1"/>
    <col min="12" max="12" width="14.6640625" style="255" bestFit="1" customWidth="1"/>
    <col min="13" max="13" width="14" style="255" customWidth="1"/>
    <col min="14" max="14" width="16.21875" style="255" bestFit="1" customWidth="1"/>
    <col min="15" max="15" width="14" style="255" bestFit="1" customWidth="1"/>
    <col min="16" max="16" width="14.109375" style="255" customWidth="1"/>
    <col min="17" max="17" width="14.88671875" style="280" bestFit="1" customWidth="1"/>
    <col min="18" max="18" width="13.88671875" style="280" bestFit="1" customWidth="1"/>
    <col min="19" max="19" width="14.44140625" style="280" bestFit="1" customWidth="1"/>
    <col min="20" max="20" width="13.5546875" style="280" bestFit="1" customWidth="1"/>
    <col min="21" max="22" width="13.88671875" style="255" bestFit="1" customWidth="1"/>
    <col min="23" max="23" width="14.6640625" style="255" bestFit="1" customWidth="1"/>
    <col min="24" max="24" width="13.5546875" style="255" bestFit="1" customWidth="1"/>
    <col min="25" max="25" width="14.6640625" style="255" bestFit="1" customWidth="1"/>
    <col min="26" max="26" width="13.5546875" style="255" bestFit="1" customWidth="1"/>
    <col min="27" max="28" width="12.21875" style="255" bestFit="1" customWidth="1"/>
    <col min="29" max="30" width="12.77734375" style="255" bestFit="1" customWidth="1"/>
    <col min="31" max="31" width="13.77734375" style="255" customWidth="1"/>
    <col min="32" max="32" width="12.77734375" style="255" bestFit="1" customWidth="1"/>
    <col min="33" max="16384" width="8.88671875" style="255"/>
  </cols>
  <sheetData>
    <row r="1" spans="1:57" ht="41.25" customHeight="1" thickBot="1" x14ac:dyDescent="0.3">
      <c r="A1" s="519" t="s">
        <v>207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1"/>
      <c r="O1" s="522" t="s">
        <v>38</v>
      </c>
      <c r="P1" s="523"/>
      <c r="Q1" s="523"/>
      <c r="R1" s="523"/>
      <c r="S1" s="523"/>
      <c r="T1" s="523"/>
      <c r="U1" s="522" t="s">
        <v>39</v>
      </c>
      <c r="V1" s="523"/>
      <c r="W1" s="523"/>
      <c r="X1" s="523"/>
      <c r="Y1" s="523"/>
      <c r="Z1" s="524"/>
      <c r="AA1" s="525" t="s">
        <v>133</v>
      </c>
      <c r="AB1" s="526"/>
      <c r="AC1" s="526"/>
      <c r="AD1" s="526"/>
      <c r="AE1" s="526"/>
      <c r="AF1" s="526"/>
    </row>
    <row r="2" spans="1:57" s="265" customFormat="1" ht="50.4" x14ac:dyDescent="0.25">
      <c r="A2" s="256" t="s">
        <v>22</v>
      </c>
      <c r="B2" s="257" t="s">
        <v>26</v>
      </c>
      <c r="C2" s="258" t="s">
        <v>23</v>
      </c>
      <c r="D2" s="257" t="s">
        <v>24</v>
      </c>
      <c r="E2" s="257" t="s">
        <v>25</v>
      </c>
      <c r="F2" s="259" t="s">
        <v>27</v>
      </c>
      <c r="G2" s="257" t="s">
        <v>28</v>
      </c>
      <c r="H2" s="257" t="s">
        <v>29</v>
      </c>
      <c r="I2" s="260" t="s">
        <v>30</v>
      </c>
      <c r="J2" s="261" t="s">
        <v>31</v>
      </c>
      <c r="K2" s="257" t="s">
        <v>32</v>
      </c>
      <c r="L2" s="257" t="s">
        <v>33</v>
      </c>
      <c r="M2" s="257"/>
      <c r="N2" s="262" t="s">
        <v>34</v>
      </c>
      <c r="O2" s="263" t="s">
        <v>189</v>
      </c>
      <c r="P2" s="263" t="s">
        <v>2</v>
      </c>
      <c r="Q2" s="263" t="s">
        <v>3</v>
      </c>
      <c r="R2" s="263" t="s">
        <v>4</v>
      </c>
      <c r="S2" s="263" t="s">
        <v>5</v>
      </c>
      <c r="T2" s="263" t="s">
        <v>6</v>
      </c>
      <c r="U2" s="263" t="s">
        <v>188</v>
      </c>
      <c r="V2" s="263" t="s">
        <v>8</v>
      </c>
      <c r="W2" s="263" t="s">
        <v>9</v>
      </c>
      <c r="X2" s="263" t="s">
        <v>10</v>
      </c>
      <c r="Y2" s="263" t="s">
        <v>11</v>
      </c>
      <c r="Z2" s="264" t="s">
        <v>12</v>
      </c>
      <c r="AA2" s="274" t="s">
        <v>182</v>
      </c>
      <c r="AB2" s="275" t="s">
        <v>183</v>
      </c>
      <c r="AC2" s="275" t="s">
        <v>184</v>
      </c>
      <c r="AD2" s="275" t="s">
        <v>185</v>
      </c>
      <c r="AE2" s="275" t="s">
        <v>186</v>
      </c>
      <c r="AF2" s="276" t="s">
        <v>187</v>
      </c>
    </row>
    <row r="3" spans="1:57" s="265" customFormat="1" ht="13.2" thickBot="1" x14ac:dyDescent="0.3">
      <c r="A3" s="266">
        <f>'Pump coeff'!M4</f>
        <v>54.3</v>
      </c>
      <c r="B3" s="267">
        <f>'Pump coeff'!N4</f>
        <v>2.8245</v>
      </c>
      <c r="C3" s="268">
        <f>'Pump coeff'!O4</f>
        <v>500</v>
      </c>
      <c r="D3" s="267">
        <f>'Pump coeff'!P4</f>
        <v>52.245569806781255</v>
      </c>
      <c r="E3" s="267">
        <f>'Pump coeff'!Q4</f>
        <v>2.7212485692937505</v>
      </c>
      <c r="F3" s="268">
        <f>'Pump coeff'!R4</f>
        <v>7600</v>
      </c>
      <c r="G3" s="267">
        <f>'Pump coeff'!S4</f>
        <v>26.279702160517104</v>
      </c>
      <c r="H3" s="267">
        <f>'Pump coeff'!T4</f>
        <v>2.3771875742807049</v>
      </c>
      <c r="I3" s="269">
        <f>'Pump coeff'!U4</f>
        <v>61.881178052058523</v>
      </c>
      <c r="J3" s="268">
        <f>'Pump coeff'!V4</f>
        <v>11000</v>
      </c>
      <c r="K3" s="267">
        <f>'Pump coeff'!W4</f>
        <v>10.878983427000009</v>
      </c>
      <c r="L3" s="267">
        <f>'Pump coeff'!X4</f>
        <v>2.0764822614000007</v>
      </c>
      <c r="M3" s="270"/>
      <c r="N3" s="271">
        <f>'Pump coeff'!Z4</f>
        <v>12000</v>
      </c>
      <c r="O3" s="272">
        <f>'Pump coeff'!AA4</f>
        <v>54.3</v>
      </c>
      <c r="P3" s="272">
        <f>'Pump coeff'!AB4</f>
        <v>-4.5550820000000002E-3</v>
      </c>
      <c r="Q3" s="272">
        <f>'Pump coeff'!AC4</f>
        <v>1.031675E-6</v>
      </c>
      <c r="R3" s="272">
        <f>'Pump coeff'!AD4</f>
        <v>-2.9421260000000001E-10</v>
      </c>
      <c r="S3" s="272">
        <f>'Pump coeff'!AE4</f>
        <v>3.210864E-14</v>
      </c>
      <c r="T3" s="272">
        <f>'Pump coeff'!AF4</f>
        <v>-1.221063E-18</v>
      </c>
      <c r="U3" s="272">
        <f>'Pump coeff'!AG4</f>
        <v>2.8245</v>
      </c>
      <c r="V3" s="272">
        <f>'Pump coeff'!AH4</f>
        <v>-2.561385E-4</v>
      </c>
      <c r="W3" s="272">
        <f>'Pump coeff'!AI4</f>
        <v>1.1078640000000001E-7</v>
      </c>
      <c r="X3" s="272">
        <f>'Pump coeff'!AJ4</f>
        <v>-2.4189500000000001E-11</v>
      </c>
      <c r="Y3" s="272">
        <f>'Pump coeff'!AK4</f>
        <v>2.3610659999999999E-15</v>
      </c>
      <c r="Z3" s="273">
        <f>'Pump coeff'!AL4</f>
        <v>-8.51146E-20</v>
      </c>
      <c r="AA3" s="294"/>
      <c r="AB3" s="294"/>
      <c r="AC3" s="294"/>
      <c r="AD3" s="294"/>
      <c r="AE3" s="294"/>
      <c r="AF3" s="294"/>
    </row>
    <row r="4" spans="1:57" s="265" customFormat="1" ht="13.2" thickBot="1" x14ac:dyDescent="0.3">
      <c r="A4" s="527" t="s">
        <v>181</v>
      </c>
      <c r="B4" s="528"/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277">
        <v>55.159590000000001</v>
      </c>
      <c r="P4" s="277">
        <v>2.8504939999999999E-3</v>
      </c>
      <c r="Q4" s="277">
        <v>-4.5945139999999998E-6</v>
      </c>
      <c r="R4" s="277">
        <v>9.4705750000000007E-10</v>
      </c>
      <c r="S4" s="277">
        <v>-7.7101360000000002E-14</v>
      </c>
      <c r="T4" s="277">
        <v>2.017562E-18</v>
      </c>
      <c r="U4" s="277">
        <v>2.8273730000000001</v>
      </c>
      <c r="V4" s="277">
        <v>1.4095939999999999E-4</v>
      </c>
      <c r="W4" s="277">
        <v>-4.3633410000000003E-8</v>
      </c>
      <c r="X4" s="277">
        <v>-3.3305100000000001E-12</v>
      </c>
      <c r="Y4" s="277">
        <v>1.599288E-15</v>
      </c>
      <c r="Z4" s="278">
        <v>-9.9028209999999997E-20</v>
      </c>
      <c r="AA4" s="427">
        <v>3.72368E-2</v>
      </c>
      <c r="AB4" s="428">
        <v>1.5878030000000001E-2</v>
      </c>
      <c r="AC4" s="428">
        <v>-1.9602540000000001E-6</v>
      </c>
      <c r="AD4" s="428">
        <v>4.1427299999999998E-11</v>
      </c>
      <c r="AE4" s="428">
        <v>2.1266079999999999E-14</v>
      </c>
      <c r="AF4" s="429">
        <v>-2.1092409999999999E-18</v>
      </c>
    </row>
    <row r="5" spans="1:57" ht="13.2" thickBot="1" x14ac:dyDescent="0.3">
      <c r="A5" s="529" t="s">
        <v>76</v>
      </c>
      <c r="B5" s="530"/>
      <c r="C5" s="531"/>
      <c r="D5" s="529" t="s">
        <v>84</v>
      </c>
      <c r="E5" s="530"/>
      <c r="F5" s="532"/>
      <c r="G5" s="532"/>
      <c r="H5" s="532"/>
      <c r="I5" s="533"/>
      <c r="J5" s="279"/>
      <c r="K5" s="279"/>
      <c r="L5" s="279"/>
      <c r="M5" s="279"/>
      <c r="N5" s="279"/>
      <c r="AA5" s="534" t="s">
        <v>199</v>
      </c>
      <c r="AB5" s="535"/>
      <c r="AC5" s="535"/>
      <c r="AD5" s="536"/>
    </row>
    <row r="6" spans="1:57" ht="38.25" customHeight="1" thickBot="1" x14ac:dyDescent="0.3">
      <c r="A6" s="281"/>
      <c r="B6" s="282"/>
      <c r="C6" s="283"/>
      <c r="D6" s="505" t="s">
        <v>85</v>
      </c>
      <c r="E6" s="506"/>
      <c r="F6" s="505" t="s">
        <v>86</v>
      </c>
      <c r="G6" s="506"/>
      <c r="H6" s="284"/>
      <c r="I6" s="285"/>
      <c r="J6" s="279"/>
      <c r="K6" s="279"/>
      <c r="L6" s="279"/>
      <c r="M6" s="279"/>
      <c r="N6" s="279"/>
      <c r="AA6" s="286"/>
      <c r="AB6" s="287"/>
      <c r="AC6" s="288"/>
      <c r="AD6" s="289"/>
    </row>
    <row r="7" spans="1:57" x14ac:dyDescent="0.25">
      <c r="A7" s="274" t="s">
        <v>70</v>
      </c>
      <c r="B7" s="275" t="s">
        <v>72</v>
      </c>
      <c r="C7" s="276" t="s">
        <v>74</v>
      </c>
      <c r="D7" s="274" t="s">
        <v>78</v>
      </c>
      <c r="E7" s="275" t="s">
        <v>81</v>
      </c>
      <c r="F7" s="275" t="s">
        <v>80</v>
      </c>
      <c r="G7" s="275" t="s">
        <v>79</v>
      </c>
      <c r="H7" s="275" t="s">
        <v>82</v>
      </c>
      <c r="I7" s="276" t="s">
        <v>83</v>
      </c>
      <c r="J7" s="290"/>
      <c r="K7" s="290"/>
      <c r="L7" s="290"/>
      <c r="M7" s="290"/>
      <c r="N7" s="290"/>
      <c r="AA7" s="274" t="s">
        <v>70</v>
      </c>
      <c r="AB7" s="275" t="s">
        <v>72</v>
      </c>
      <c r="AC7" s="291" t="s">
        <v>74</v>
      </c>
      <c r="AD7" s="292" t="s">
        <v>135</v>
      </c>
    </row>
    <row r="8" spans="1:57" ht="13.2" thickBot="1" x14ac:dyDescent="0.3">
      <c r="A8" s="293" t="s">
        <v>71</v>
      </c>
      <c r="B8" s="294" t="s">
        <v>73</v>
      </c>
      <c r="C8" s="295" t="s">
        <v>75</v>
      </c>
      <c r="D8" s="293" t="s">
        <v>71</v>
      </c>
      <c r="E8" s="294" t="s">
        <v>73</v>
      </c>
      <c r="F8" s="294" t="s">
        <v>71</v>
      </c>
      <c r="G8" s="294" t="s">
        <v>73</v>
      </c>
      <c r="H8" s="294" t="s">
        <v>75</v>
      </c>
      <c r="I8" s="295" t="s">
        <v>75</v>
      </c>
      <c r="J8" s="518" t="s">
        <v>98</v>
      </c>
      <c r="K8" s="489"/>
      <c r="L8" s="489"/>
      <c r="M8" s="489"/>
      <c r="N8" s="290"/>
      <c r="AA8" s="293" t="s">
        <v>71</v>
      </c>
      <c r="AB8" s="294" t="s">
        <v>73</v>
      </c>
      <c r="AC8" s="296" t="s">
        <v>75</v>
      </c>
      <c r="AD8" s="297" t="s">
        <v>92</v>
      </c>
    </row>
    <row r="9" spans="1:57" x14ac:dyDescent="0.25">
      <c r="A9" s="298">
        <v>0</v>
      </c>
      <c r="B9" s="299">
        <f>O3</f>
        <v>54.3</v>
      </c>
      <c r="C9" s="300">
        <f>U3</f>
        <v>2.8245</v>
      </c>
      <c r="D9" s="298"/>
      <c r="E9" s="299"/>
      <c r="F9" s="301"/>
      <c r="G9" s="299"/>
      <c r="H9" s="301"/>
      <c r="I9" s="302"/>
      <c r="J9" s="303">
        <f>A11</f>
        <v>500</v>
      </c>
      <c r="K9" s="255">
        <v>0</v>
      </c>
      <c r="L9" s="255">
        <v>0</v>
      </c>
      <c r="M9" s="255">
        <v>0</v>
      </c>
      <c r="AA9" s="304">
        <f>A9</f>
        <v>0</v>
      </c>
      <c r="AB9" s="305">
        <f>O4</f>
        <v>55.159590000000001</v>
      </c>
      <c r="AC9" s="306">
        <f>U4</f>
        <v>2.8273730000000001</v>
      </c>
      <c r="AD9" s="424">
        <f>AA4</f>
        <v>3.72368E-2</v>
      </c>
    </row>
    <row r="10" spans="1:57" x14ac:dyDescent="0.25">
      <c r="A10" s="307">
        <f>(A9+A11)/2</f>
        <v>250</v>
      </c>
      <c r="B10" s="308">
        <f t="shared" ref="B10:B21" si="0">$O$3+$P$3*A10+$Q$3*A10^2+$R$3*A10^3+$S$3*A10^4+$T$3*A10^5</f>
        <v>53.22123634755566</v>
      </c>
      <c r="C10" s="309">
        <f t="shared" ref="C10:C21" si="1">$U$3+$V$3*A10+$W$3*A10^2+$X$3*A10^3+$Y$3*A10^4+$Z$3*A10^5</f>
        <v>2.767020703856836</v>
      </c>
      <c r="D10" s="307"/>
      <c r="E10" s="308"/>
      <c r="F10" s="310"/>
      <c r="G10" s="308"/>
      <c r="H10" s="310"/>
      <c r="I10" s="311"/>
      <c r="J10" s="303">
        <f>A11</f>
        <v>500</v>
      </c>
      <c r="K10" s="255">
        <v>60</v>
      </c>
      <c r="L10" s="255">
        <v>3.5</v>
      </c>
      <c r="M10" s="255">
        <v>70</v>
      </c>
      <c r="AA10" s="307">
        <f t="shared" ref="AA10:AA21" si="2">A10</f>
        <v>250</v>
      </c>
      <c r="AB10" s="308">
        <f>$O$4+$P$4*A10+$Q$4*A10^2+$R$4*A10^3+$S$4*A10^4+$T$4*A10^5</f>
        <v>55.59955494152539</v>
      </c>
      <c r="AC10" s="312">
        <f>$U$4+$V$4*AA10+$W$4*AA10^2+$X$4*AA10^3+$Y$4*AA10^4+$Z$4*AA10^5</f>
        <v>2.8598398731677634</v>
      </c>
      <c r="AD10" s="425">
        <f>$AA$4+$AB$4*AA10+$AC$4*AA10^2+$AD$4*AA10^3+$AE$4*AA10^4+$AF$4*AA10^5</f>
        <v>3.8849567373818363</v>
      </c>
    </row>
    <row r="11" spans="1:57" s="319" customFormat="1" x14ac:dyDescent="0.25">
      <c r="A11" s="313">
        <f>$C$3</f>
        <v>500</v>
      </c>
      <c r="B11" s="314">
        <f t="shared" si="0"/>
        <v>52.245569806781255</v>
      </c>
      <c r="C11" s="315">
        <f t="shared" si="1"/>
        <v>2.7212485692937505</v>
      </c>
      <c r="D11" s="316">
        <f t="shared" ref="D11:D19" si="3">0.95*A11</f>
        <v>475</v>
      </c>
      <c r="E11" s="314">
        <f t="shared" ref="E11:E19" si="4">($O$3+$P$3*D11+$Q$3*D11^2+$R$3*D11^3+$S$3*D11^4+$T$3*D11^5)*1.05</f>
        <v>54.956140493918511</v>
      </c>
      <c r="F11" s="317">
        <f t="shared" ref="F11:F19" si="5">1.05*A11</f>
        <v>525</v>
      </c>
      <c r="G11" s="314">
        <f t="shared" ref="G11:G19" si="6">($O$3+$P$3*F11+$Q$3*F11^2+$R$3*F11^3+$S$3*F11^4+$T$3*F11^5)*0.95</f>
        <v>49.545116731677162</v>
      </c>
      <c r="H11" s="314">
        <f t="shared" ref="H11:H19" si="7">C11*0.92</f>
        <v>2.5035486837502505</v>
      </c>
      <c r="I11" s="315">
        <f t="shared" ref="I11:I19" si="8">1.08*C11</f>
        <v>2.9389484548372509</v>
      </c>
      <c r="J11" s="491" t="s">
        <v>96</v>
      </c>
      <c r="K11" s="489"/>
      <c r="L11" s="489"/>
      <c r="M11" s="489"/>
      <c r="N11" s="318"/>
      <c r="Q11" s="320"/>
      <c r="R11" s="320"/>
      <c r="S11" s="320"/>
      <c r="T11" s="320"/>
      <c r="AA11" s="307">
        <f t="shared" si="2"/>
        <v>500</v>
      </c>
      <c r="AB11" s="308">
        <f t="shared" ref="AB11:AB21" si="9">$O$4+$P$4*A11+$Q$4*A11^2+$R$4*A11^3+$S$4*A11^4+$T$4*A11^5</f>
        <v>55.549834901312501</v>
      </c>
      <c r="AC11" s="312">
        <f t="shared" ref="AC11:AC21" si="10">$U$4+$V$4*AA11+$W$4*AA11^2+$X$4*AA11^3+$Y$4*AA11^4+$Z$4*AA11^5</f>
        <v>2.8866248946184374</v>
      </c>
      <c r="AD11" s="425">
        <f t="shared" ref="AD11:AD21" si="11">$AA$4+$AB$4*AA11+$AC$4*AA11^2+$AD$4*AA11^3+$AE$4*AA11^4+$AF$4*AA11^5</f>
        <v>7.4926299287187508</v>
      </c>
      <c r="AE11" s="318"/>
      <c r="AF11" s="318"/>
      <c r="AG11" s="318"/>
      <c r="AH11" s="318"/>
      <c r="AI11" s="318"/>
      <c r="AJ11" s="318"/>
      <c r="AK11" s="318"/>
      <c r="AL11" s="318"/>
      <c r="AM11" s="318"/>
      <c r="AN11" s="318"/>
      <c r="AO11" s="318"/>
      <c r="AP11" s="318"/>
      <c r="AQ11" s="318"/>
      <c r="AR11" s="318"/>
      <c r="AS11" s="318"/>
      <c r="AT11" s="318"/>
      <c r="AU11" s="318"/>
      <c r="AV11" s="318"/>
      <c r="AW11" s="318"/>
      <c r="AX11" s="318"/>
      <c r="AY11" s="318"/>
      <c r="AZ11" s="318"/>
      <c r="BA11" s="318"/>
      <c r="BB11" s="318"/>
      <c r="BC11" s="318"/>
      <c r="BD11" s="318"/>
      <c r="BE11" s="318"/>
    </row>
    <row r="12" spans="1:57" x14ac:dyDescent="0.25">
      <c r="A12" s="307">
        <f>(A11+A13)/2</f>
        <v>2275</v>
      </c>
      <c r="B12" s="308">
        <f t="shared" si="0"/>
        <v>46.598216124680064</v>
      </c>
      <c r="C12" s="309">
        <f t="shared" si="1"/>
        <v>2.5884125314547242</v>
      </c>
      <c r="D12" s="307">
        <f t="shared" si="3"/>
        <v>2161.25</v>
      </c>
      <c r="E12" s="308">
        <f t="shared" si="4"/>
        <v>49.294480775551101</v>
      </c>
      <c r="F12" s="310">
        <f t="shared" si="5"/>
        <v>2388.75</v>
      </c>
      <c r="G12" s="308">
        <f t="shared" si="6"/>
        <v>43.933824081786462</v>
      </c>
      <c r="H12" s="308">
        <f t="shared" si="7"/>
        <v>2.3813395289383466</v>
      </c>
      <c r="I12" s="309">
        <f t="shared" si="8"/>
        <v>2.7954855339711022</v>
      </c>
      <c r="J12" s="321">
        <f>A15</f>
        <v>7600</v>
      </c>
      <c r="K12" s="318">
        <v>0</v>
      </c>
      <c r="L12" s="318">
        <v>0</v>
      </c>
      <c r="M12" s="318">
        <v>0</v>
      </c>
      <c r="N12" s="318"/>
      <c r="AA12" s="307">
        <f t="shared" si="2"/>
        <v>2275</v>
      </c>
      <c r="AB12" s="308">
        <f t="shared" si="9"/>
        <v>47.073785384975046</v>
      </c>
      <c r="AC12" s="312">
        <f t="shared" si="10"/>
        <v>2.9198156570568128</v>
      </c>
      <c r="AD12" s="425">
        <f t="shared" si="11"/>
        <v>26.943121119263353</v>
      </c>
      <c r="AE12" s="318"/>
      <c r="AF12" s="318"/>
      <c r="AG12" s="318"/>
      <c r="AH12" s="318"/>
      <c r="AI12" s="318"/>
      <c r="AJ12" s="318"/>
      <c r="AK12" s="318"/>
      <c r="AL12" s="318"/>
      <c r="AM12" s="318"/>
      <c r="AN12" s="318"/>
      <c r="AO12" s="318"/>
      <c r="AP12" s="318"/>
      <c r="AQ12" s="318"/>
      <c r="AR12" s="318"/>
      <c r="AS12" s="318"/>
      <c r="AT12" s="318"/>
      <c r="AU12" s="318"/>
      <c r="AV12" s="318"/>
      <c r="AW12" s="318"/>
      <c r="AX12" s="318"/>
      <c r="AY12" s="318"/>
      <c r="AZ12" s="318"/>
      <c r="BA12" s="318"/>
      <c r="BB12" s="318"/>
      <c r="BC12" s="318"/>
      <c r="BD12" s="318"/>
      <c r="BE12" s="318"/>
    </row>
    <row r="13" spans="1:57" x14ac:dyDescent="0.25">
      <c r="A13" s="307">
        <f>(A11+A15)/2</f>
        <v>4050</v>
      </c>
      <c r="B13" s="308">
        <f t="shared" si="0"/>
        <v>40.537465397409534</v>
      </c>
      <c r="C13" s="309">
        <f t="shared" si="1"/>
        <v>2.5398848447232392</v>
      </c>
      <c r="D13" s="307">
        <f t="shared" si="3"/>
        <v>3847.5</v>
      </c>
      <c r="E13" s="308">
        <f t="shared" si="4"/>
        <v>43.360902274433364</v>
      </c>
      <c r="F13" s="310">
        <f t="shared" si="5"/>
        <v>4252.5</v>
      </c>
      <c r="G13" s="308">
        <f t="shared" si="6"/>
        <v>37.774785601973889</v>
      </c>
      <c r="H13" s="308">
        <f t="shared" si="7"/>
        <v>2.33669405714538</v>
      </c>
      <c r="I13" s="309">
        <f t="shared" si="8"/>
        <v>2.7430756323010983</v>
      </c>
      <c r="J13" s="321">
        <f>A15</f>
        <v>7600</v>
      </c>
      <c r="K13" s="318">
        <v>60</v>
      </c>
      <c r="L13" s="318">
        <v>3.5</v>
      </c>
      <c r="M13" s="318">
        <v>70</v>
      </c>
      <c r="N13" s="318"/>
      <c r="AA13" s="307">
        <f t="shared" si="2"/>
        <v>4050</v>
      </c>
      <c r="AB13" s="308">
        <f t="shared" si="9"/>
        <v>35.710594502449737</v>
      </c>
      <c r="AC13" s="312">
        <f t="shared" si="10"/>
        <v>2.7836878883631275</v>
      </c>
      <c r="AD13" s="425">
        <f t="shared" si="11"/>
        <v>38.365410167951239</v>
      </c>
      <c r="AE13" s="318"/>
      <c r="AF13" s="318"/>
      <c r="AG13" s="318"/>
      <c r="AH13" s="318"/>
      <c r="AI13" s="318"/>
      <c r="AJ13" s="318"/>
      <c r="AK13" s="318"/>
      <c r="AL13" s="318"/>
      <c r="AM13" s="318"/>
      <c r="AN13" s="318"/>
      <c r="AO13" s="318"/>
      <c r="AP13" s="318"/>
      <c r="AQ13" s="318"/>
      <c r="AR13" s="318"/>
      <c r="AS13" s="318"/>
      <c r="AT13" s="318"/>
      <c r="AU13" s="318"/>
      <c r="AV13" s="318"/>
      <c r="AW13" s="318"/>
      <c r="AX13" s="318"/>
      <c r="AY13" s="318"/>
      <c r="AZ13" s="318"/>
      <c r="BA13" s="318"/>
      <c r="BB13" s="318"/>
      <c r="BC13" s="318"/>
      <c r="BD13" s="318"/>
      <c r="BE13" s="318"/>
    </row>
    <row r="14" spans="1:57" x14ac:dyDescent="0.25">
      <c r="A14" s="307">
        <f>(A13+A15)/2</f>
        <v>5825</v>
      </c>
      <c r="B14" s="308">
        <f t="shared" si="0"/>
        <v>33.399631371634094</v>
      </c>
      <c r="C14" s="309">
        <f t="shared" si="1"/>
        <v>2.4580554235397249</v>
      </c>
      <c r="D14" s="307">
        <f t="shared" si="3"/>
        <v>5533.75</v>
      </c>
      <c r="E14" s="308">
        <f t="shared" si="4"/>
        <v>36.332462867010086</v>
      </c>
      <c r="F14" s="310">
        <f t="shared" si="5"/>
        <v>6116.25</v>
      </c>
      <c r="G14" s="308">
        <f t="shared" si="6"/>
        <v>30.589236341325019</v>
      </c>
      <c r="H14" s="308">
        <f t="shared" si="7"/>
        <v>2.2614109896565471</v>
      </c>
      <c r="I14" s="309">
        <f t="shared" si="8"/>
        <v>2.6546998574229033</v>
      </c>
      <c r="J14" s="491" t="s">
        <v>99</v>
      </c>
      <c r="K14" s="489"/>
      <c r="L14" s="489"/>
      <c r="M14" s="489"/>
      <c r="N14" s="318"/>
      <c r="AA14" s="307">
        <f t="shared" si="2"/>
        <v>5825</v>
      </c>
      <c r="AB14" s="308">
        <f t="shared" si="9"/>
        <v>27.815463777769857</v>
      </c>
      <c r="AC14" s="312">
        <f t="shared" si="10"/>
        <v>2.6868232072573641</v>
      </c>
      <c r="AD14" s="425">
        <f t="shared" si="11"/>
        <v>44.540327376631247</v>
      </c>
      <c r="AE14" s="318"/>
      <c r="AF14" s="318"/>
      <c r="AG14" s="318"/>
      <c r="AH14" s="318"/>
      <c r="AI14" s="318"/>
      <c r="AJ14" s="318"/>
      <c r="AK14" s="318"/>
      <c r="AL14" s="318"/>
      <c r="AM14" s="318"/>
      <c r="AN14" s="318"/>
      <c r="AO14" s="318"/>
      <c r="AP14" s="318"/>
      <c r="AQ14" s="318"/>
      <c r="AR14" s="318"/>
      <c r="AS14" s="318"/>
      <c r="AT14" s="318"/>
      <c r="AU14" s="318"/>
      <c r="AV14" s="318"/>
      <c r="AW14" s="318"/>
      <c r="AX14" s="318"/>
      <c r="AY14" s="318"/>
      <c r="AZ14" s="318"/>
      <c r="BA14" s="318"/>
      <c r="BB14" s="318"/>
      <c r="BC14" s="318"/>
      <c r="BD14" s="318"/>
      <c r="BE14" s="318"/>
    </row>
    <row r="15" spans="1:57" s="319" customFormat="1" x14ac:dyDescent="0.25">
      <c r="A15" s="313">
        <f>$F$3</f>
        <v>7600</v>
      </c>
      <c r="B15" s="314">
        <f t="shared" si="0"/>
        <v>26.279702160517104</v>
      </c>
      <c r="C15" s="315">
        <f t="shared" si="1"/>
        <v>2.3771875742807049</v>
      </c>
      <c r="D15" s="316">
        <f t="shared" si="3"/>
        <v>7220</v>
      </c>
      <c r="E15" s="314">
        <f t="shared" si="4"/>
        <v>29.142190385995498</v>
      </c>
      <c r="F15" s="317">
        <f t="shared" si="5"/>
        <v>7980</v>
      </c>
      <c r="G15" s="314">
        <f t="shared" si="6"/>
        <v>23.589097694949103</v>
      </c>
      <c r="H15" s="314">
        <f t="shared" si="7"/>
        <v>2.1870125683382486</v>
      </c>
      <c r="I15" s="315">
        <f t="shared" si="8"/>
        <v>2.5673625802231617</v>
      </c>
      <c r="J15" s="321">
        <f>A19</f>
        <v>11000</v>
      </c>
      <c r="K15" s="318">
        <v>0</v>
      </c>
      <c r="L15" s="318">
        <v>0</v>
      </c>
      <c r="M15" s="318">
        <v>0</v>
      </c>
      <c r="N15" s="318"/>
      <c r="Q15" s="320"/>
      <c r="R15" s="320"/>
      <c r="S15" s="320"/>
      <c r="T15" s="320"/>
      <c r="AA15" s="307">
        <f t="shared" si="2"/>
        <v>7600</v>
      </c>
      <c r="AB15" s="308">
        <f t="shared" si="9"/>
        <v>21.108611150597142</v>
      </c>
      <c r="AC15" s="312">
        <f t="shared" si="10"/>
        <v>2.7410720997602307</v>
      </c>
      <c r="AD15" s="425">
        <f t="shared" si="11"/>
        <v>43.13951378781185</v>
      </c>
      <c r="AE15" s="318"/>
      <c r="AF15" s="318"/>
      <c r="AG15" s="318"/>
      <c r="AH15" s="318"/>
      <c r="AI15" s="318"/>
      <c r="AJ15" s="318"/>
      <c r="AK15" s="318"/>
      <c r="AL15" s="318"/>
      <c r="AM15" s="318"/>
      <c r="AN15" s="318"/>
      <c r="AO15" s="318"/>
      <c r="AP15" s="318"/>
      <c r="AQ15" s="318"/>
      <c r="AR15" s="318"/>
      <c r="AS15" s="318"/>
      <c r="AT15" s="318"/>
      <c r="AU15" s="318"/>
      <c r="AV15" s="318"/>
      <c r="AW15" s="318"/>
      <c r="AX15" s="318"/>
      <c r="AY15" s="318"/>
      <c r="AZ15" s="318"/>
      <c r="BA15" s="318"/>
      <c r="BB15" s="318"/>
      <c r="BC15" s="318"/>
      <c r="BD15" s="318"/>
      <c r="BE15" s="318"/>
    </row>
    <row r="16" spans="1:57" x14ac:dyDescent="0.25">
      <c r="A16" s="307">
        <f>(A15+A17)/2</f>
        <v>8450</v>
      </c>
      <c r="B16" s="308">
        <f t="shared" si="0"/>
        <v>23.055908562691634</v>
      </c>
      <c r="C16" s="309">
        <f t="shared" si="1"/>
        <v>2.3464532565127567</v>
      </c>
      <c r="D16" s="307">
        <f t="shared" si="3"/>
        <v>8027.5</v>
      </c>
      <c r="E16" s="308">
        <f t="shared" si="4"/>
        <v>25.883351678633328</v>
      </c>
      <c r="F16" s="310">
        <f t="shared" si="5"/>
        <v>8872.5</v>
      </c>
      <c r="G16" s="308">
        <f t="shared" si="6"/>
        <v>20.373858005058374</v>
      </c>
      <c r="H16" s="308">
        <f t="shared" si="7"/>
        <v>2.1587369959917364</v>
      </c>
      <c r="I16" s="309">
        <f t="shared" si="8"/>
        <v>2.5341695170337775</v>
      </c>
      <c r="J16" s="321">
        <f>A19</f>
        <v>11000</v>
      </c>
      <c r="K16" s="318">
        <v>60</v>
      </c>
      <c r="L16" s="318">
        <v>3.5</v>
      </c>
      <c r="M16" s="318">
        <v>70</v>
      </c>
      <c r="N16" s="318"/>
      <c r="AA16" s="307">
        <f t="shared" si="2"/>
        <v>8450</v>
      </c>
      <c r="AB16" s="308">
        <f t="shared" si="9"/>
        <v>16.425653627887826</v>
      </c>
      <c r="AC16" s="312">
        <f t="shared" si="10"/>
        <v>2.7809432250971549</v>
      </c>
      <c r="AD16" s="425">
        <f t="shared" si="11"/>
        <v>36.788234694086555</v>
      </c>
      <c r="AE16" s="318"/>
      <c r="AF16" s="318"/>
      <c r="AG16" s="318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8"/>
      <c r="AX16" s="318"/>
      <c r="AY16" s="318"/>
      <c r="AZ16" s="318"/>
      <c r="BA16" s="318"/>
      <c r="BB16" s="318"/>
      <c r="BC16" s="318"/>
      <c r="BD16" s="318"/>
      <c r="BE16" s="318"/>
    </row>
    <row r="17" spans="1:57" x14ac:dyDescent="0.25">
      <c r="A17" s="307">
        <f>(A15+A19)/2</f>
        <v>9300</v>
      </c>
      <c r="B17" s="308">
        <f t="shared" si="0"/>
        <v>19.756738027207419</v>
      </c>
      <c r="C17" s="309">
        <f t="shared" si="1"/>
        <v>2.308011977164421</v>
      </c>
      <c r="D17" s="307">
        <f t="shared" si="3"/>
        <v>8835</v>
      </c>
      <c r="E17" s="308">
        <f t="shared" si="4"/>
        <v>22.670211021019703</v>
      </c>
      <c r="F17" s="310">
        <f t="shared" si="5"/>
        <v>9765</v>
      </c>
      <c r="G17" s="308">
        <f t="shared" si="6"/>
        <v>16.886386393688504</v>
      </c>
      <c r="H17" s="308">
        <f t="shared" si="7"/>
        <v>2.1233710189912673</v>
      </c>
      <c r="I17" s="309">
        <f t="shared" si="8"/>
        <v>2.4926529353375746</v>
      </c>
      <c r="J17" s="318"/>
      <c r="K17" s="318"/>
      <c r="L17" s="318"/>
      <c r="M17" s="318"/>
      <c r="N17" s="318"/>
      <c r="AA17" s="307">
        <f t="shared" si="2"/>
        <v>9300</v>
      </c>
      <c r="AB17" s="308">
        <f t="shared" si="9"/>
        <v>9.663166424328665</v>
      </c>
      <c r="AC17" s="312">
        <f t="shared" si="10"/>
        <v>2.7597513937590046</v>
      </c>
      <c r="AD17" s="425">
        <f t="shared" si="11"/>
        <v>23.826781799237864</v>
      </c>
      <c r="AE17" s="318"/>
      <c r="AF17" s="318"/>
      <c r="AG17" s="318"/>
      <c r="AH17" s="318"/>
      <c r="AI17" s="318"/>
      <c r="AJ17" s="318"/>
      <c r="AK17" s="318"/>
      <c r="AL17" s="318"/>
      <c r="AM17" s="318"/>
      <c r="AN17" s="318"/>
      <c r="AO17" s="318"/>
      <c r="AP17" s="318"/>
      <c r="AQ17" s="318"/>
      <c r="AR17" s="318"/>
      <c r="AS17" s="318"/>
      <c r="AT17" s="318"/>
      <c r="AU17" s="318"/>
      <c r="AV17" s="318"/>
      <c r="AW17" s="318"/>
      <c r="AX17" s="318"/>
      <c r="AY17" s="318"/>
      <c r="AZ17" s="318"/>
      <c r="BA17" s="318"/>
      <c r="BB17" s="318"/>
      <c r="BC17" s="318"/>
      <c r="BD17" s="318"/>
      <c r="BE17" s="318"/>
    </row>
    <row r="18" spans="1:57" x14ac:dyDescent="0.25">
      <c r="A18" s="307">
        <f>(A17+A19)/2</f>
        <v>10150</v>
      </c>
      <c r="B18" s="308">
        <f t="shared" si="0"/>
        <v>15.946139712867335</v>
      </c>
      <c r="C18" s="309">
        <f t="shared" si="1"/>
        <v>2.2339832894354554</v>
      </c>
      <c r="D18" s="307">
        <f t="shared" si="3"/>
        <v>9642.5</v>
      </c>
      <c r="E18" s="308">
        <f t="shared" si="4"/>
        <v>19.232937014906632</v>
      </c>
      <c r="F18" s="310">
        <f t="shared" si="5"/>
        <v>10657.5</v>
      </c>
      <c r="G18" s="308">
        <f t="shared" si="6"/>
        <v>12.477690658235751</v>
      </c>
      <c r="H18" s="308">
        <f t="shared" si="7"/>
        <v>2.0552646262806191</v>
      </c>
      <c r="I18" s="309">
        <f t="shared" si="8"/>
        <v>2.4127019525902922</v>
      </c>
      <c r="J18" s="318"/>
      <c r="K18" s="318"/>
      <c r="L18" s="318"/>
      <c r="M18" s="318"/>
      <c r="N18" s="318"/>
      <c r="AA18" s="307">
        <f t="shared" si="2"/>
        <v>10150</v>
      </c>
      <c r="AB18" s="308">
        <f t="shared" si="9"/>
        <v>9.4328034895823976E-2</v>
      </c>
      <c r="AC18" s="312">
        <f t="shared" si="10"/>
        <v>2.5863548884430276</v>
      </c>
      <c r="AD18" s="425">
        <f t="shared" si="11"/>
        <v>1.0538681326821688</v>
      </c>
      <c r="AE18" s="318"/>
      <c r="AF18" s="318"/>
      <c r="AG18" s="318"/>
      <c r="AH18" s="318"/>
      <c r="AI18" s="318"/>
      <c r="AJ18" s="318"/>
      <c r="AK18" s="318"/>
      <c r="AL18" s="318"/>
      <c r="AM18" s="318"/>
      <c r="AN18" s="318"/>
      <c r="AO18" s="318"/>
      <c r="AP18" s="318"/>
      <c r="AQ18" s="318"/>
      <c r="AR18" s="318"/>
      <c r="AS18" s="318"/>
      <c r="AT18" s="318"/>
      <c r="AU18" s="318"/>
      <c r="AV18" s="318"/>
      <c r="AW18" s="318"/>
      <c r="AX18" s="318"/>
      <c r="AY18" s="318"/>
      <c r="AZ18" s="318"/>
      <c r="BA18" s="318"/>
      <c r="BB18" s="318"/>
      <c r="BC18" s="318"/>
      <c r="BD18" s="318"/>
      <c r="BE18" s="318"/>
    </row>
    <row r="19" spans="1:57" s="319" customFormat="1" x14ac:dyDescent="0.25">
      <c r="A19" s="313">
        <f>$J$3</f>
        <v>11000</v>
      </c>
      <c r="B19" s="314">
        <f t="shared" si="0"/>
        <v>10.878983427000009</v>
      </c>
      <c r="C19" s="315">
        <f t="shared" si="1"/>
        <v>2.0764822614000007</v>
      </c>
      <c r="D19" s="316">
        <f t="shared" si="3"/>
        <v>10450</v>
      </c>
      <c r="E19" s="314">
        <f t="shared" si="4"/>
        <v>15.06778191805973</v>
      </c>
      <c r="F19" s="317">
        <f t="shared" si="5"/>
        <v>11550</v>
      </c>
      <c r="G19" s="314">
        <f t="shared" si="6"/>
        <v>6.100804721708883</v>
      </c>
      <c r="H19" s="314">
        <f t="shared" si="7"/>
        <v>1.9103636804880006</v>
      </c>
      <c r="I19" s="315">
        <f t="shared" si="8"/>
        <v>2.242600842312001</v>
      </c>
      <c r="J19" s="318"/>
      <c r="K19" s="318"/>
      <c r="L19" s="318"/>
      <c r="M19" s="318"/>
      <c r="N19" s="318"/>
      <c r="Q19" s="320"/>
      <c r="R19" s="320"/>
      <c r="S19" s="320"/>
      <c r="T19" s="320"/>
      <c r="AA19" s="307">
        <f t="shared" si="2"/>
        <v>11000</v>
      </c>
      <c r="AB19" s="308">
        <f t="shared" si="9"/>
        <v>-12.798271598000099</v>
      </c>
      <c r="AC19" s="312">
        <f t="shared" si="10"/>
        <v>2.1319583392899979</v>
      </c>
      <c r="AD19" s="425">
        <f t="shared" si="11"/>
        <v>-35.694125911000071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8"/>
      <c r="AV19" s="318"/>
      <c r="AW19" s="318"/>
      <c r="AX19" s="318"/>
      <c r="AY19" s="318"/>
      <c r="AZ19" s="318"/>
      <c r="BA19" s="318"/>
      <c r="BB19" s="318"/>
      <c r="BC19" s="318"/>
      <c r="BD19" s="318"/>
      <c r="BE19" s="318"/>
    </row>
    <row r="20" spans="1:57" x14ac:dyDescent="0.25">
      <c r="A20" s="307">
        <f>(A19+A21)/2</f>
        <v>11500</v>
      </c>
      <c r="B20" s="308">
        <f t="shared" si="0"/>
        <v>6.8777239709687876</v>
      </c>
      <c r="C20" s="309">
        <f t="shared" si="1"/>
        <v>1.9168084970062509</v>
      </c>
      <c r="D20" s="307"/>
      <c r="E20" s="308"/>
      <c r="F20" s="310"/>
      <c r="G20" s="308"/>
      <c r="H20" s="310"/>
      <c r="I20" s="311"/>
      <c r="AA20" s="307">
        <f t="shared" si="2"/>
        <v>11500</v>
      </c>
      <c r="AB20" s="308">
        <f t="shared" si="9"/>
        <v>-22.031952429812463</v>
      </c>
      <c r="AC20" s="312">
        <f t="shared" si="10"/>
        <v>1.6661351118740626</v>
      </c>
      <c r="AD20" s="425">
        <f t="shared" si="11"/>
        <v>-65.901901034468779</v>
      </c>
    </row>
    <row r="21" spans="1:57" ht="13.2" thickBot="1" x14ac:dyDescent="0.3">
      <c r="A21" s="322">
        <f>$N$3</f>
        <v>12000</v>
      </c>
      <c r="B21" s="323">
        <f t="shared" si="0"/>
        <v>1.7660538239999255</v>
      </c>
      <c r="C21" s="324">
        <f t="shared" si="1"/>
        <v>1.6844520287999956</v>
      </c>
      <c r="D21" s="322"/>
      <c r="E21" s="323"/>
      <c r="F21" s="325"/>
      <c r="G21" s="323"/>
      <c r="H21" s="325"/>
      <c r="I21" s="326"/>
      <c r="AA21" s="322">
        <f t="shared" si="2"/>
        <v>12000</v>
      </c>
      <c r="AB21" s="323">
        <f t="shared" si="9"/>
        <v>-32.46895137599995</v>
      </c>
      <c r="AC21" s="327">
        <f t="shared" si="10"/>
        <v>1.002001897279996</v>
      </c>
      <c r="AD21" s="426">
        <f t="shared" si="11"/>
        <v>-103.98982643200003</v>
      </c>
    </row>
    <row r="49" spans="1:32" ht="13.2" x14ac:dyDescent="0.25">
      <c r="X49" s="507"/>
      <c r="Y49" s="507"/>
    </row>
    <row r="50" spans="1:32" ht="13.2" thickBot="1" x14ac:dyDescent="0.3">
      <c r="X50" s="328"/>
      <c r="Y50" s="329"/>
    </row>
    <row r="51" spans="1:32" ht="13.2" thickBot="1" x14ac:dyDescent="0.3">
      <c r="A51" s="508" t="s">
        <v>164</v>
      </c>
      <c r="B51" s="509"/>
      <c r="C51" s="509"/>
      <c r="D51" s="509"/>
      <c r="E51" s="509"/>
      <c r="F51" s="509"/>
      <c r="G51" s="509"/>
      <c r="H51" s="509"/>
      <c r="I51" s="509"/>
      <c r="J51" s="509"/>
      <c r="K51" s="509"/>
      <c r="L51" s="510"/>
      <c r="M51" s="279"/>
      <c r="X51" s="328"/>
      <c r="Y51" s="329"/>
    </row>
    <row r="52" spans="1:32" x14ac:dyDescent="0.25">
      <c r="A52" s="330" t="s">
        <v>2</v>
      </c>
      <c r="B52" s="331" t="s">
        <v>3</v>
      </c>
      <c r="C52" s="331" t="s">
        <v>4</v>
      </c>
      <c r="D52" s="331" t="s">
        <v>5</v>
      </c>
      <c r="E52" s="331" t="s">
        <v>6</v>
      </c>
      <c r="F52" s="423" t="s">
        <v>7</v>
      </c>
      <c r="G52" s="330" t="s">
        <v>8</v>
      </c>
      <c r="H52" s="331" t="s">
        <v>9</v>
      </c>
      <c r="I52" s="331" t="s">
        <v>10</v>
      </c>
      <c r="J52" s="331" t="s">
        <v>11</v>
      </c>
      <c r="K52" s="331" t="s">
        <v>12</v>
      </c>
      <c r="L52" s="332" t="s">
        <v>13</v>
      </c>
      <c r="M52" s="333"/>
      <c r="X52" s="328"/>
      <c r="Y52" s="329"/>
    </row>
    <row r="53" spans="1:32" ht="15" customHeight="1" x14ac:dyDescent="0.25">
      <c r="A53" s="3">
        <v>36.152349999999998</v>
      </c>
      <c r="B53" s="3">
        <v>-3.2961209999999999E-3</v>
      </c>
      <c r="C53" s="3">
        <v>1.856065E-5</v>
      </c>
      <c r="D53" s="3">
        <v>-2.7407259999999999E-8</v>
      </c>
      <c r="E53" s="3">
        <v>1.083283E-11</v>
      </c>
      <c r="F53" s="3">
        <v>-1.65719E-15</v>
      </c>
      <c r="G53" s="3">
        <v>0.2451998</v>
      </c>
      <c r="H53" s="3">
        <v>1.509628E-5</v>
      </c>
      <c r="I53" s="3">
        <v>5.6647879999999996E-7</v>
      </c>
      <c r="J53" s="3">
        <v>-6.3997010000000005E-10</v>
      </c>
      <c r="K53" s="3">
        <v>2.634381E-13</v>
      </c>
      <c r="L53" s="3">
        <v>-3.520485E-17</v>
      </c>
      <c r="M53" s="334"/>
      <c r="X53" s="328"/>
      <c r="Y53" s="329"/>
    </row>
    <row r="54" spans="1:32" x14ac:dyDescent="0.25">
      <c r="X54" s="335"/>
      <c r="Y54" s="329"/>
    </row>
    <row r="55" spans="1:32" ht="13.2" thickBot="1" x14ac:dyDescent="0.3"/>
    <row r="56" spans="1:32" ht="13.2" thickBot="1" x14ac:dyDescent="0.3">
      <c r="A56" s="511" t="s">
        <v>150</v>
      </c>
      <c r="B56" s="512"/>
      <c r="C56" s="336">
        <v>1</v>
      </c>
      <c r="D56" s="513" t="s">
        <v>149</v>
      </c>
      <c r="E56" s="514"/>
      <c r="F56" s="514"/>
      <c r="G56" s="336">
        <v>54</v>
      </c>
      <c r="H56" s="495" t="s">
        <v>198</v>
      </c>
      <c r="I56" s="500"/>
      <c r="J56" s="500"/>
      <c r="K56" s="497"/>
      <c r="L56" s="497"/>
      <c r="M56" s="497"/>
      <c r="N56" s="497"/>
      <c r="O56" s="497"/>
      <c r="P56" s="498"/>
      <c r="Q56" s="515" t="s">
        <v>76</v>
      </c>
      <c r="R56" s="516"/>
      <c r="S56" s="517"/>
      <c r="T56" s="495" t="s">
        <v>197</v>
      </c>
      <c r="U56" s="500"/>
      <c r="V56" s="500"/>
      <c r="W56" s="499"/>
      <c r="AA56" s="280"/>
      <c r="AB56" s="280"/>
      <c r="AC56" s="280"/>
      <c r="AD56" s="280"/>
    </row>
    <row r="57" spans="1:32" ht="13.2" thickBot="1" x14ac:dyDescent="0.3">
      <c r="A57" s="492" t="s">
        <v>148</v>
      </c>
      <c r="B57" s="493"/>
      <c r="C57" s="493"/>
      <c r="D57" s="493"/>
      <c r="E57" s="493"/>
      <c r="F57" s="493"/>
      <c r="G57" s="494"/>
      <c r="H57" s="495" t="s">
        <v>87</v>
      </c>
      <c r="I57" s="496"/>
      <c r="J57" s="496"/>
      <c r="K57" s="497"/>
      <c r="L57" s="497"/>
      <c r="M57" s="497"/>
      <c r="N57" s="497"/>
      <c r="O57" s="497"/>
      <c r="P57" s="498"/>
      <c r="Q57" s="495" t="s">
        <v>87</v>
      </c>
      <c r="R57" s="496"/>
      <c r="S57" s="499"/>
      <c r="T57" s="495" t="s">
        <v>87</v>
      </c>
      <c r="U57" s="496"/>
      <c r="V57" s="496"/>
      <c r="W57" s="499"/>
      <c r="X57" s="495" t="s">
        <v>77</v>
      </c>
      <c r="Y57" s="500"/>
      <c r="Z57" s="500"/>
      <c r="AA57" s="500"/>
      <c r="AB57" s="501"/>
      <c r="AC57" s="280"/>
      <c r="AD57" s="280"/>
    </row>
    <row r="58" spans="1:32" x14ac:dyDescent="0.25">
      <c r="A58" s="298" t="s">
        <v>139</v>
      </c>
      <c r="B58" s="275" t="s">
        <v>70</v>
      </c>
      <c r="C58" s="275" t="s">
        <v>142</v>
      </c>
      <c r="D58" s="275" t="s">
        <v>144</v>
      </c>
      <c r="E58" s="337" t="s">
        <v>151</v>
      </c>
      <c r="F58" s="337" t="s">
        <v>146</v>
      </c>
      <c r="G58" s="292" t="s">
        <v>147</v>
      </c>
      <c r="H58" s="274" t="s">
        <v>153</v>
      </c>
      <c r="I58" s="337" t="s">
        <v>154</v>
      </c>
      <c r="J58" s="292" t="s">
        <v>155</v>
      </c>
      <c r="K58" s="274" t="s">
        <v>156</v>
      </c>
      <c r="L58" s="337" t="s">
        <v>157</v>
      </c>
      <c r="M58" s="338" t="s">
        <v>158</v>
      </c>
      <c r="N58" s="274" t="s">
        <v>160</v>
      </c>
      <c r="O58" s="337" t="s">
        <v>161</v>
      </c>
      <c r="P58" s="292" t="s">
        <v>162</v>
      </c>
      <c r="Q58" s="274" t="s">
        <v>70</v>
      </c>
      <c r="R58" s="275" t="s">
        <v>72</v>
      </c>
      <c r="S58" s="276" t="s">
        <v>74</v>
      </c>
      <c r="T58" s="274" t="s">
        <v>70</v>
      </c>
      <c r="U58" s="275" t="s">
        <v>72</v>
      </c>
      <c r="V58" s="275" t="s">
        <v>74</v>
      </c>
      <c r="W58" s="276" t="s">
        <v>93</v>
      </c>
      <c r="X58" s="339" t="s">
        <v>81</v>
      </c>
      <c r="Y58" s="340" t="s">
        <v>79</v>
      </c>
      <c r="Z58" s="340" t="s">
        <v>82</v>
      </c>
      <c r="AA58" s="341" t="s">
        <v>83</v>
      </c>
      <c r="AB58" s="342" t="s">
        <v>91</v>
      </c>
      <c r="AC58" s="502" t="s">
        <v>94</v>
      </c>
      <c r="AD58" s="503"/>
      <c r="AE58" s="504"/>
    </row>
    <row r="59" spans="1:32" ht="13.2" thickBot="1" x14ac:dyDescent="0.3">
      <c r="A59" s="293" t="s">
        <v>141</v>
      </c>
      <c r="B59" s="294" t="s">
        <v>140</v>
      </c>
      <c r="C59" s="294" t="s">
        <v>143</v>
      </c>
      <c r="D59" s="294" t="s">
        <v>145</v>
      </c>
      <c r="E59" s="343" t="s">
        <v>89</v>
      </c>
      <c r="F59" s="343" t="s">
        <v>89</v>
      </c>
      <c r="G59" s="326" t="s">
        <v>152</v>
      </c>
      <c r="H59" s="293" t="s">
        <v>71</v>
      </c>
      <c r="I59" s="343" t="s">
        <v>71</v>
      </c>
      <c r="J59" s="326" t="s">
        <v>163</v>
      </c>
      <c r="K59" s="293" t="s">
        <v>73</v>
      </c>
      <c r="L59" s="343" t="s">
        <v>73</v>
      </c>
      <c r="M59" s="344" t="s">
        <v>163</v>
      </c>
      <c r="N59" s="293" t="s">
        <v>159</v>
      </c>
      <c r="O59" s="343" t="s">
        <v>159</v>
      </c>
      <c r="P59" s="326" t="s">
        <v>163</v>
      </c>
      <c r="Q59" s="293" t="s">
        <v>71</v>
      </c>
      <c r="R59" s="294" t="s">
        <v>73</v>
      </c>
      <c r="S59" s="295" t="s">
        <v>75</v>
      </c>
      <c r="T59" s="293" t="s">
        <v>71</v>
      </c>
      <c r="U59" s="294" t="s">
        <v>73</v>
      </c>
      <c r="V59" s="294" t="s">
        <v>75</v>
      </c>
      <c r="W59" s="295" t="s">
        <v>92</v>
      </c>
      <c r="X59" s="345" t="s">
        <v>73</v>
      </c>
      <c r="Y59" s="294" t="s">
        <v>73</v>
      </c>
      <c r="Z59" s="294" t="s">
        <v>75</v>
      </c>
      <c r="AA59" s="296" t="s">
        <v>75</v>
      </c>
      <c r="AB59" s="346" t="s">
        <v>92</v>
      </c>
      <c r="AC59" s="293" t="s">
        <v>72</v>
      </c>
      <c r="AD59" s="294" t="s">
        <v>74</v>
      </c>
      <c r="AE59" s="295" t="s">
        <v>93</v>
      </c>
    </row>
    <row r="60" spans="1:32" x14ac:dyDescent="0.25">
      <c r="A60" s="347">
        <v>4.3890000000000002</v>
      </c>
      <c r="B60" s="348">
        <v>4.1399999999999997</v>
      </c>
      <c r="C60" s="349">
        <v>2997</v>
      </c>
      <c r="D60" s="348">
        <v>19.84</v>
      </c>
      <c r="E60" s="350">
        <f>ROUND(C60*D60/9549,3)</f>
        <v>6.2270000000000003</v>
      </c>
      <c r="F60" s="351">
        <v>6.2240000000000002</v>
      </c>
      <c r="G60" s="352" t="str">
        <f>IF(OR(E60-F60&gt;0.001*F60,E60-F60&lt;(-0.001)*F60),"ALARM","OK")</f>
        <v>OK</v>
      </c>
      <c r="H60" s="353">
        <f>ROUNDUP((B60*6.28981)*(3500/C60),1)</f>
        <v>30.5</v>
      </c>
      <c r="I60" s="354">
        <v>30.41</v>
      </c>
      <c r="J60" s="355" t="str">
        <f>IF(OR(H60-I60&gt;0.005*I60,H60-I60&lt;(-0.005)*I60),"ALARM","OK")</f>
        <v>OK</v>
      </c>
      <c r="K60" s="356">
        <f>ROUNDUP(((A60-0.13)*(1000/9.81)*$C$56*3.28/$G$56)*(3500/C60)^2,2)</f>
        <v>35.97</v>
      </c>
      <c r="L60" s="348">
        <f>L73/$G$56</f>
        <v>36.068703703703704</v>
      </c>
      <c r="M60" s="430" t="str">
        <f t="shared" ref="M60:M70" si="12">IF(OR(K60-L60&gt;0.005*L60,K60-L60&lt;(-0.005)*L60),"ALARM","OK")</f>
        <v>OK</v>
      </c>
      <c r="N60" s="358">
        <f>ROUNDUP((F60/(0.746*$G$56))*(3500/C60)^3,3)</f>
        <v>0.247</v>
      </c>
      <c r="O60" s="348">
        <f>O73/$G$56</f>
        <v>0.24616666666666664</v>
      </c>
      <c r="P60" s="352" t="str">
        <f t="shared" ref="P60:P70" si="13">IF(OR(N60-O60&gt;0.005*O60,N60-O60&lt;(-0.005)*O60),"ALARM","OK")</f>
        <v>OK</v>
      </c>
      <c r="Q60" s="298">
        <v>0</v>
      </c>
      <c r="R60" s="299">
        <f>B9</f>
        <v>54.3</v>
      </c>
      <c r="S60" s="300">
        <f>C9</f>
        <v>2.8245</v>
      </c>
      <c r="T60" s="298">
        <v>0</v>
      </c>
      <c r="U60" s="299">
        <f>A53</f>
        <v>36.152349999999998</v>
      </c>
      <c r="V60" s="299">
        <f>G53</f>
        <v>0.2451998</v>
      </c>
      <c r="W60" s="359"/>
      <c r="X60" s="360"/>
      <c r="Y60" s="361"/>
      <c r="Z60" s="361"/>
      <c r="AA60" s="362"/>
      <c r="AB60" s="363"/>
      <c r="AC60" s="364"/>
      <c r="AD60" s="365"/>
      <c r="AE60" s="366"/>
    </row>
    <row r="61" spans="1:32" x14ac:dyDescent="0.25">
      <c r="A61" s="367">
        <v>4.1859999999999999</v>
      </c>
      <c r="B61" s="368">
        <v>121.03</v>
      </c>
      <c r="C61" s="369">
        <v>2994.6</v>
      </c>
      <c r="D61" s="368">
        <v>32.299999999999997</v>
      </c>
      <c r="E61" s="370">
        <f t="shared" ref="E61:E70" si="14">ROUND(C61*D61/9549,3)</f>
        <v>10.129</v>
      </c>
      <c r="F61" s="371">
        <v>10.125999999999999</v>
      </c>
      <c r="G61" s="372" t="str">
        <f t="shared" ref="G61:G70" si="15">IF(OR(E61-F61&gt;0.001*F61,E61-F61&lt;(-0.001)*F61),"ALARM","OK")</f>
        <v>OK</v>
      </c>
      <c r="H61" s="373">
        <f t="shared" ref="H61:H70" si="16">ROUNDUP((B61*6.28981)*(3500/C61),1)</f>
        <v>889.80000000000007</v>
      </c>
      <c r="I61" s="368">
        <v>889.76</v>
      </c>
      <c r="J61" s="372" t="str">
        <f t="shared" ref="J61:J70" si="17">IF(OR(H61-I61&gt;0.005*I61,H61-I61&lt;(-0.005)*I61),"ALARM","OK")</f>
        <v>OK</v>
      </c>
      <c r="K61" s="356">
        <f t="shared" ref="K61:K70" si="18">ROUNDUP(((A61-0.13)*(1000/9.81)*$C$56*3.28/$G$56)*(3500/C61)^2,2)</f>
        <v>34.309999999999995</v>
      </c>
      <c r="L61" s="348">
        <f t="shared" ref="L61:L67" si="19">L74/$G$56</f>
        <v>34.443148148148147</v>
      </c>
      <c r="M61" s="431" t="str">
        <f t="shared" si="12"/>
        <v>OK</v>
      </c>
      <c r="N61" s="375">
        <f t="shared" ref="N61:N70" si="20">ROUNDUP((F61/(0.746*$G$56))*(3500/C61)^3,3)</f>
        <v>0.40200000000000002</v>
      </c>
      <c r="O61" s="348">
        <f t="shared" ref="O61:O67" si="21">O74/$G$56</f>
        <v>0.40148148148148149</v>
      </c>
      <c r="P61" s="372" t="str">
        <f t="shared" si="13"/>
        <v>OK</v>
      </c>
      <c r="Q61" s="307">
        <f>(Q60+Q62)/2</f>
        <v>250</v>
      </c>
      <c r="R61" s="308">
        <f t="shared" ref="R61:R72" si="22">$O$3+$P$3*Q61+$Q$3*Q61^2+$R$3*Q61^3+$S$3*Q61^4+$T$3*Q61^5</f>
        <v>53.22123634755566</v>
      </c>
      <c r="S61" s="309">
        <f t="shared" ref="S61:S72" si="23">$U$3+$V$3*Q61+$W$3*Q61^2+$X$3*Q61^3+$Y$3*Q61^4+$Z$3*Q61^5</f>
        <v>2.767020703856836</v>
      </c>
      <c r="T61" s="307">
        <f>(T60+T62)/2</f>
        <v>250</v>
      </c>
      <c r="U61" s="308">
        <f t="shared" ref="U61:U72" si="24">$A$53+$B$53*T61+$C$53*T61^2+$D$53*T61^3+$E$53*T61^4+$F$53*T61^5</f>
        <v>36.100819330078124</v>
      </c>
      <c r="V61" s="308">
        <f t="shared" ref="V61:V72" si="25">$G$53+$H$53*T61+$I$53*T61^2+$J$53*T61^3+$K$53*T61^4+$L$53*T61^5</f>
        <v>0.27537393752929684</v>
      </c>
      <c r="W61" s="376"/>
      <c r="X61" s="377"/>
      <c r="Y61" s="378"/>
      <c r="Z61" s="378"/>
      <c r="AA61" s="379"/>
      <c r="AB61" s="334"/>
      <c r="AC61" s="380"/>
      <c r="AD61" s="381"/>
      <c r="AE61" s="382"/>
    </row>
    <row r="62" spans="1:32" x14ac:dyDescent="0.25">
      <c r="A62" s="367">
        <v>3.9140000000000001</v>
      </c>
      <c r="B62" s="368">
        <v>147.28</v>
      </c>
      <c r="C62" s="369">
        <v>2995.9</v>
      </c>
      <c r="D62" s="368">
        <v>34.17</v>
      </c>
      <c r="E62" s="370">
        <f t="shared" si="14"/>
        <v>10.72</v>
      </c>
      <c r="F62" s="371">
        <v>10.715999999999999</v>
      </c>
      <c r="G62" s="372" t="str">
        <f t="shared" si="15"/>
        <v>OK</v>
      </c>
      <c r="H62" s="383">
        <f t="shared" si="16"/>
        <v>1082.3</v>
      </c>
      <c r="I62" s="368">
        <v>1082.22</v>
      </c>
      <c r="J62" s="372" t="str">
        <f t="shared" si="17"/>
        <v>OK</v>
      </c>
      <c r="K62" s="356">
        <f t="shared" si="18"/>
        <v>31.98</v>
      </c>
      <c r="L62" s="348">
        <f t="shared" si="19"/>
        <v>32.114629629629633</v>
      </c>
      <c r="M62" s="431" t="str">
        <f t="shared" si="12"/>
        <v>OK</v>
      </c>
      <c r="N62" s="384">
        <f t="shared" si="20"/>
        <v>0.42499999999999999</v>
      </c>
      <c r="O62" s="348">
        <f t="shared" si="21"/>
        <v>0.42433333333333334</v>
      </c>
      <c r="P62" s="372" t="str">
        <f t="shared" si="13"/>
        <v>OK</v>
      </c>
      <c r="Q62" s="313">
        <f>$C$3</f>
        <v>500</v>
      </c>
      <c r="R62" s="314">
        <f t="shared" si="22"/>
        <v>52.245569806781255</v>
      </c>
      <c r="S62" s="315">
        <f t="shared" si="23"/>
        <v>2.7212485692937505</v>
      </c>
      <c r="T62" s="313">
        <f>$C$3</f>
        <v>500</v>
      </c>
      <c r="U62" s="314">
        <f t="shared" si="24"/>
        <v>36.3438091875</v>
      </c>
      <c r="V62" s="314">
        <f t="shared" si="25"/>
        <v>0.32973610718750002</v>
      </c>
      <c r="W62" s="385">
        <f t="shared" ref="W62:W70" si="26">(T62*U62*100)/(135788*V62)</f>
        <v>40.58565411875275</v>
      </c>
      <c r="X62" s="386">
        <f t="shared" ref="X62:X70" si="27">E11</f>
        <v>54.956140493918511</v>
      </c>
      <c r="Y62" s="387">
        <f t="shared" ref="Y62:AA70" si="28">G11</f>
        <v>49.545116731677162</v>
      </c>
      <c r="Z62" s="387">
        <f t="shared" si="28"/>
        <v>2.5035486837502505</v>
      </c>
      <c r="AA62" s="387">
        <f t="shared" si="28"/>
        <v>2.9389484548372509</v>
      </c>
      <c r="AB62" s="334"/>
      <c r="AC62" s="388" t="str">
        <f t="shared" ref="AC62:AC70" si="29">IF(OR(U62&gt;X62,U62&lt;Y62),"FAIL","PASS")</f>
        <v>FAIL</v>
      </c>
      <c r="AD62" s="389" t="str">
        <f t="shared" ref="AD62:AD70" si="30">IF(OR(V62&gt;AA62,V62&lt;Z62),"FAIL","PASS")</f>
        <v>FAIL</v>
      </c>
      <c r="AE62" s="390"/>
      <c r="AF62" s="391" t="s">
        <v>95</v>
      </c>
    </row>
    <row r="63" spans="1:32" x14ac:dyDescent="0.25">
      <c r="A63" s="367">
        <v>3.6309999999999998</v>
      </c>
      <c r="B63" s="368">
        <v>163.55000000000001</v>
      </c>
      <c r="C63" s="369">
        <v>2995</v>
      </c>
      <c r="D63" s="368">
        <v>34.65</v>
      </c>
      <c r="E63" s="370">
        <f t="shared" si="14"/>
        <v>10.868</v>
      </c>
      <c r="F63" s="371">
        <v>10.865</v>
      </c>
      <c r="G63" s="372" t="str">
        <f t="shared" si="15"/>
        <v>OK</v>
      </c>
      <c r="H63" s="373">
        <f t="shared" si="16"/>
        <v>1202.1999999999998</v>
      </c>
      <c r="I63" s="368">
        <v>1202.1500000000001</v>
      </c>
      <c r="J63" s="372" t="str">
        <f t="shared" si="17"/>
        <v>OK</v>
      </c>
      <c r="K63" s="356">
        <f t="shared" si="18"/>
        <v>29.610000000000003</v>
      </c>
      <c r="L63" s="348">
        <f t="shared" si="19"/>
        <v>29.755925925925926</v>
      </c>
      <c r="M63" s="431" t="str">
        <f t="shared" si="12"/>
        <v>OK</v>
      </c>
      <c r="N63" s="392">
        <f t="shared" si="20"/>
        <v>0.43099999999999999</v>
      </c>
      <c r="O63" s="348">
        <f t="shared" si="21"/>
        <v>0.43061111111111111</v>
      </c>
      <c r="P63" s="372" t="str">
        <f t="shared" si="13"/>
        <v>OK</v>
      </c>
      <c r="Q63" s="307">
        <f>(Q62+Q64)/2</f>
        <v>2275</v>
      </c>
      <c r="R63" s="308">
        <f t="shared" si="22"/>
        <v>46.598216124680064</v>
      </c>
      <c r="S63" s="309">
        <f t="shared" si="23"/>
        <v>2.5884125314547242</v>
      </c>
      <c r="T63" s="307">
        <f>(T62+T64)/2</f>
        <v>2275</v>
      </c>
      <c r="U63" s="308">
        <f t="shared" si="24"/>
        <v>-8.8016095106786452</v>
      </c>
      <c r="V63" s="308">
        <f t="shared" si="25"/>
        <v>0.58740285924772007</v>
      </c>
      <c r="W63" s="393">
        <f t="shared" si="26"/>
        <v>-25.104180566702802</v>
      </c>
      <c r="X63" s="394">
        <f t="shared" si="27"/>
        <v>49.294480775551101</v>
      </c>
      <c r="Y63" s="395">
        <f t="shared" si="28"/>
        <v>43.933824081786462</v>
      </c>
      <c r="Z63" s="395">
        <f t="shared" si="28"/>
        <v>2.3813395289383466</v>
      </c>
      <c r="AA63" s="395">
        <f t="shared" si="28"/>
        <v>2.7954855339711022</v>
      </c>
      <c r="AB63" s="334"/>
      <c r="AC63" s="396" t="str">
        <f t="shared" si="29"/>
        <v>FAIL</v>
      </c>
      <c r="AD63" s="397" t="str">
        <f t="shared" si="30"/>
        <v>FAIL</v>
      </c>
      <c r="AE63" s="390"/>
    </row>
    <row r="64" spans="1:32" x14ac:dyDescent="0.25">
      <c r="A64" s="367">
        <v>3.1779999999999999</v>
      </c>
      <c r="B64" s="368">
        <v>186.81</v>
      </c>
      <c r="C64" s="369">
        <v>2993.6</v>
      </c>
      <c r="D64" s="368">
        <v>35.47</v>
      </c>
      <c r="E64" s="370">
        <f t="shared" si="14"/>
        <v>11.12</v>
      </c>
      <c r="F64" s="371">
        <v>11.117000000000001</v>
      </c>
      <c r="G64" s="372" t="str">
        <f t="shared" si="15"/>
        <v>OK</v>
      </c>
      <c r="H64" s="373">
        <f t="shared" si="16"/>
        <v>1373.8</v>
      </c>
      <c r="I64" s="368">
        <v>1373.73</v>
      </c>
      <c r="J64" s="372" t="str">
        <f t="shared" si="17"/>
        <v>OK</v>
      </c>
      <c r="K64" s="356">
        <f t="shared" si="18"/>
        <v>25.8</v>
      </c>
      <c r="L64" s="348">
        <f t="shared" si="19"/>
        <v>25.948703703703703</v>
      </c>
      <c r="M64" s="374" t="str">
        <f t="shared" si="12"/>
        <v>ALARM</v>
      </c>
      <c r="N64" s="392">
        <f t="shared" si="20"/>
        <v>0.442</v>
      </c>
      <c r="O64" s="348">
        <f t="shared" si="21"/>
        <v>0.44120370370370371</v>
      </c>
      <c r="P64" s="372" t="str">
        <f t="shared" si="13"/>
        <v>OK</v>
      </c>
      <c r="Q64" s="307">
        <f>(Q62+Q66)/2</f>
        <v>4050</v>
      </c>
      <c r="R64" s="308">
        <f t="shared" si="22"/>
        <v>40.537465397409534</v>
      </c>
      <c r="S64" s="309">
        <f t="shared" si="23"/>
        <v>2.5398848447232392</v>
      </c>
      <c r="T64" s="307">
        <f>(T62+T66)/2</f>
        <v>4050</v>
      </c>
      <c r="U64" s="308">
        <f t="shared" si="24"/>
        <v>-384.64484503393442</v>
      </c>
      <c r="V64" s="308">
        <f t="shared" si="25"/>
        <v>-0.3992836101821382</v>
      </c>
      <c r="W64" s="393">
        <f t="shared" si="26"/>
        <v>2873.2410616815055</v>
      </c>
      <c r="X64" s="394">
        <f t="shared" si="27"/>
        <v>43.360902274433364</v>
      </c>
      <c r="Y64" s="395">
        <f t="shared" si="28"/>
        <v>37.774785601973889</v>
      </c>
      <c r="Z64" s="395">
        <f t="shared" si="28"/>
        <v>2.33669405714538</v>
      </c>
      <c r="AA64" s="395">
        <f t="shared" si="28"/>
        <v>2.7430756323010983</v>
      </c>
      <c r="AB64" s="334"/>
      <c r="AC64" s="396" t="str">
        <f t="shared" si="29"/>
        <v>FAIL</v>
      </c>
      <c r="AD64" s="397" t="str">
        <f t="shared" si="30"/>
        <v>FAIL</v>
      </c>
      <c r="AE64" s="390"/>
    </row>
    <row r="65" spans="1:32" x14ac:dyDescent="0.25">
      <c r="A65" s="367">
        <v>2.8519999999999999</v>
      </c>
      <c r="B65" s="368">
        <v>202.72</v>
      </c>
      <c r="C65" s="369">
        <v>2993.7</v>
      </c>
      <c r="D65" s="368">
        <v>36.17</v>
      </c>
      <c r="E65" s="370">
        <f t="shared" si="14"/>
        <v>11.34</v>
      </c>
      <c r="F65" s="371">
        <v>11.335000000000001</v>
      </c>
      <c r="G65" s="372" t="str">
        <f t="shared" si="15"/>
        <v>OK</v>
      </c>
      <c r="H65" s="373">
        <f t="shared" si="16"/>
        <v>1490.8</v>
      </c>
      <c r="I65" s="368">
        <v>1490.7</v>
      </c>
      <c r="J65" s="372" t="str">
        <f t="shared" si="17"/>
        <v>OK</v>
      </c>
      <c r="K65" s="356">
        <f t="shared" si="18"/>
        <v>23.040000000000003</v>
      </c>
      <c r="L65" s="348">
        <f t="shared" si="19"/>
        <v>23.193888888888889</v>
      </c>
      <c r="M65" s="374" t="str">
        <f t="shared" si="12"/>
        <v>ALARM</v>
      </c>
      <c r="N65" s="392">
        <f t="shared" si="20"/>
        <v>0.45</v>
      </c>
      <c r="O65" s="348">
        <f t="shared" si="21"/>
        <v>0.44981481481481478</v>
      </c>
      <c r="P65" s="372" t="str">
        <f t="shared" si="13"/>
        <v>OK</v>
      </c>
      <c r="Q65" s="307">
        <f>(Q64+Q66)/2</f>
        <v>5825</v>
      </c>
      <c r="R65" s="308">
        <f t="shared" si="22"/>
        <v>33.399631371634094</v>
      </c>
      <c r="S65" s="309">
        <f t="shared" si="23"/>
        <v>2.4580554235397249</v>
      </c>
      <c r="T65" s="307">
        <f>(T64+T66)/2</f>
        <v>5825</v>
      </c>
      <c r="U65" s="308">
        <f t="shared" si="24"/>
        <v>-3412.0337839454132</v>
      </c>
      <c r="V65" s="308">
        <f t="shared" si="25"/>
        <v>-39.732878702400626</v>
      </c>
      <c r="W65" s="393">
        <f t="shared" si="26"/>
        <v>368.38151463370536</v>
      </c>
      <c r="X65" s="394">
        <f t="shared" si="27"/>
        <v>36.332462867010086</v>
      </c>
      <c r="Y65" s="395">
        <f t="shared" si="28"/>
        <v>30.589236341325019</v>
      </c>
      <c r="Z65" s="395">
        <f t="shared" si="28"/>
        <v>2.2614109896565471</v>
      </c>
      <c r="AA65" s="395">
        <f t="shared" si="28"/>
        <v>2.6546998574229033</v>
      </c>
      <c r="AB65" s="334"/>
      <c r="AC65" s="396" t="str">
        <f t="shared" si="29"/>
        <v>FAIL</v>
      </c>
      <c r="AD65" s="397" t="str">
        <f t="shared" si="30"/>
        <v>FAIL</v>
      </c>
      <c r="AE65" s="390"/>
    </row>
    <row r="66" spans="1:32" x14ac:dyDescent="0.25">
      <c r="A66" s="367">
        <v>2.3450000000000002</v>
      </c>
      <c r="B66" s="368">
        <v>221.04</v>
      </c>
      <c r="C66" s="369">
        <v>2995</v>
      </c>
      <c r="D66" s="368">
        <v>36.76</v>
      </c>
      <c r="E66" s="370">
        <f t="shared" si="14"/>
        <v>11.53</v>
      </c>
      <c r="F66" s="371">
        <v>11.526999999999999</v>
      </c>
      <c r="G66" s="372" t="str">
        <f t="shared" si="15"/>
        <v>OK</v>
      </c>
      <c r="H66" s="383">
        <f t="shared" si="16"/>
        <v>1624.8</v>
      </c>
      <c r="I66" s="368">
        <v>1624.74</v>
      </c>
      <c r="J66" s="372" t="str">
        <f t="shared" si="17"/>
        <v>OK</v>
      </c>
      <c r="K66" s="356">
        <f t="shared" si="18"/>
        <v>18.73</v>
      </c>
      <c r="L66" s="348">
        <f t="shared" si="19"/>
        <v>18.891481481481481</v>
      </c>
      <c r="M66" s="374" t="str">
        <f t="shared" si="12"/>
        <v>ALARM</v>
      </c>
      <c r="N66" s="384">
        <f t="shared" si="20"/>
        <v>0.45700000000000002</v>
      </c>
      <c r="O66" s="348">
        <f t="shared" si="21"/>
        <v>0.45683333333333337</v>
      </c>
      <c r="P66" s="372" t="str">
        <f t="shared" si="13"/>
        <v>OK</v>
      </c>
      <c r="Q66" s="313">
        <f>$F$3</f>
        <v>7600</v>
      </c>
      <c r="R66" s="314">
        <f t="shared" si="22"/>
        <v>26.279702160517104</v>
      </c>
      <c r="S66" s="315">
        <f t="shared" si="23"/>
        <v>2.3771875742807049</v>
      </c>
      <c r="T66" s="313">
        <f>$F$3</f>
        <v>7600</v>
      </c>
      <c r="U66" s="314">
        <f t="shared" si="24"/>
        <v>-16825.759266086403</v>
      </c>
      <c r="V66" s="314">
        <f t="shared" si="25"/>
        <v>-261.59284720377605</v>
      </c>
      <c r="W66" s="385">
        <f t="shared" si="26"/>
        <v>359.99876156181818</v>
      </c>
      <c r="X66" s="386">
        <f t="shared" si="27"/>
        <v>29.142190385995498</v>
      </c>
      <c r="Y66" s="387">
        <f t="shared" si="28"/>
        <v>23.589097694949103</v>
      </c>
      <c r="Z66" s="387">
        <f t="shared" si="28"/>
        <v>2.1870125683382486</v>
      </c>
      <c r="AA66" s="387">
        <f t="shared" si="28"/>
        <v>2.5673625802231617</v>
      </c>
      <c r="AB66" s="398">
        <f>0.9*I3</f>
        <v>55.693060246852674</v>
      </c>
      <c r="AC66" s="388" t="str">
        <f t="shared" si="29"/>
        <v>FAIL</v>
      </c>
      <c r="AD66" s="389" t="str">
        <f t="shared" si="30"/>
        <v>FAIL</v>
      </c>
      <c r="AE66" s="399" t="str">
        <f>IF(W66&lt;AB66,"FAIL","PASS")</f>
        <v>PASS</v>
      </c>
      <c r="AF66" s="391" t="s">
        <v>96</v>
      </c>
    </row>
    <row r="67" spans="1:32" x14ac:dyDescent="0.25">
      <c r="A67" s="367">
        <v>3.2000000000000001E-2</v>
      </c>
      <c r="B67" s="368">
        <v>286.02</v>
      </c>
      <c r="C67" s="369">
        <v>2995.5</v>
      </c>
      <c r="D67" s="368">
        <v>43.02</v>
      </c>
      <c r="E67" s="370">
        <f t="shared" si="14"/>
        <v>13.494999999999999</v>
      </c>
      <c r="F67" s="371">
        <v>13.491</v>
      </c>
      <c r="G67" s="372" t="str">
        <f t="shared" si="15"/>
        <v>OK</v>
      </c>
      <c r="H67" s="373">
        <f t="shared" si="16"/>
        <v>2102</v>
      </c>
      <c r="I67" s="368">
        <v>2102.02</v>
      </c>
      <c r="J67" s="372" t="str">
        <f t="shared" si="17"/>
        <v>OK</v>
      </c>
      <c r="K67" s="356">
        <f t="shared" si="18"/>
        <v>-0.83</v>
      </c>
      <c r="L67" s="348">
        <f t="shared" si="19"/>
        <v>0.16592592592592595</v>
      </c>
      <c r="M67" s="374" t="str">
        <f t="shared" si="12"/>
        <v>ALARM</v>
      </c>
      <c r="N67" s="392">
        <f t="shared" si="20"/>
        <v>0.53500000000000003</v>
      </c>
      <c r="O67" s="348">
        <f t="shared" si="21"/>
        <v>0.53442592592592597</v>
      </c>
      <c r="P67" s="372" t="str">
        <f t="shared" si="13"/>
        <v>OK</v>
      </c>
      <c r="Q67" s="307">
        <f>(Q66+Q68)/2</f>
        <v>8450</v>
      </c>
      <c r="R67" s="308">
        <f t="shared" si="22"/>
        <v>23.055908562691634</v>
      </c>
      <c r="S67" s="309">
        <f t="shared" si="23"/>
        <v>2.3464532565127567</v>
      </c>
      <c r="T67" s="307">
        <f>(T66+T68)/2</f>
        <v>8450</v>
      </c>
      <c r="U67" s="308">
        <f t="shared" si="24"/>
        <v>-31366.458458691166</v>
      </c>
      <c r="V67" s="308">
        <f t="shared" si="25"/>
        <v>-518.86732070988307</v>
      </c>
      <c r="W67" s="393">
        <f t="shared" si="26"/>
        <v>376.18760710151753</v>
      </c>
      <c r="X67" s="394">
        <f t="shared" si="27"/>
        <v>25.883351678633328</v>
      </c>
      <c r="Y67" s="395">
        <f t="shared" si="28"/>
        <v>20.373858005058374</v>
      </c>
      <c r="Z67" s="395">
        <f t="shared" si="28"/>
        <v>2.1587369959917364</v>
      </c>
      <c r="AA67" s="395">
        <f t="shared" si="28"/>
        <v>2.5341695170337775</v>
      </c>
      <c r="AB67" s="334"/>
      <c r="AC67" s="396" t="str">
        <f t="shared" si="29"/>
        <v>FAIL</v>
      </c>
      <c r="AD67" s="397" t="str">
        <f t="shared" si="30"/>
        <v>FAIL</v>
      </c>
      <c r="AE67" s="390"/>
    </row>
    <row r="68" spans="1:32" x14ac:dyDescent="0.25">
      <c r="A68" s="367"/>
      <c r="B68" s="368"/>
      <c r="C68" s="369"/>
      <c r="D68" s="368"/>
      <c r="E68" s="370">
        <f t="shared" si="14"/>
        <v>0</v>
      </c>
      <c r="F68" s="371"/>
      <c r="G68" s="372" t="str">
        <f t="shared" si="15"/>
        <v>OK</v>
      </c>
      <c r="H68" s="373" t="e">
        <f t="shared" si="16"/>
        <v>#DIV/0!</v>
      </c>
      <c r="I68" s="368"/>
      <c r="J68" s="372" t="e">
        <f t="shared" si="17"/>
        <v>#DIV/0!</v>
      </c>
      <c r="K68" s="356" t="e">
        <f t="shared" si="18"/>
        <v>#DIV/0!</v>
      </c>
      <c r="L68" s="368"/>
      <c r="M68" s="374" t="e">
        <f t="shared" si="12"/>
        <v>#DIV/0!</v>
      </c>
      <c r="N68" s="392" t="e">
        <f t="shared" si="20"/>
        <v>#DIV/0!</v>
      </c>
      <c r="O68" s="371"/>
      <c r="P68" s="372" t="e">
        <f t="shared" si="13"/>
        <v>#DIV/0!</v>
      </c>
      <c r="Q68" s="307">
        <f>(Q66+Q70)/2</f>
        <v>9300</v>
      </c>
      <c r="R68" s="308">
        <f t="shared" si="22"/>
        <v>19.756738027207419</v>
      </c>
      <c r="S68" s="309">
        <f t="shared" si="23"/>
        <v>2.308011977164421</v>
      </c>
      <c r="T68" s="307">
        <f>(T66+T70)/2</f>
        <v>9300</v>
      </c>
      <c r="U68" s="308">
        <f t="shared" si="24"/>
        <v>-54687.990705763703</v>
      </c>
      <c r="V68" s="308">
        <f t="shared" si="25"/>
        <v>-943.89054974900068</v>
      </c>
      <c r="W68" s="393">
        <f t="shared" si="26"/>
        <v>396.81847716960368</v>
      </c>
      <c r="X68" s="394">
        <f t="shared" si="27"/>
        <v>22.670211021019703</v>
      </c>
      <c r="Y68" s="395">
        <f t="shared" si="28"/>
        <v>16.886386393688504</v>
      </c>
      <c r="Z68" s="395">
        <f t="shared" si="28"/>
        <v>2.1233710189912673</v>
      </c>
      <c r="AA68" s="395">
        <f t="shared" si="28"/>
        <v>2.4926529353375746</v>
      </c>
      <c r="AB68" s="334"/>
      <c r="AC68" s="396" t="str">
        <f t="shared" si="29"/>
        <v>FAIL</v>
      </c>
      <c r="AD68" s="397" t="str">
        <f t="shared" si="30"/>
        <v>FAIL</v>
      </c>
      <c r="AE68" s="390"/>
    </row>
    <row r="69" spans="1:32" x14ac:dyDescent="0.25">
      <c r="A69" s="367"/>
      <c r="B69" s="368"/>
      <c r="C69" s="369"/>
      <c r="D69" s="368"/>
      <c r="E69" s="370">
        <f t="shared" si="14"/>
        <v>0</v>
      </c>
      <c r="F69" s="371"/>
      <c r="G69" s="372" t="str">
        <f t="shared" si="15"/>
        <v>OK</v>
      </c>
      <c r="H69" s="373" t="e">
        <f t="shared" si="16"/>
        <v>#DIV/0!</v>
      </c>
      <c r="I69" s="368"/>
      <c r="J69" s="372" t="e">
        <f t="shared" si="17"/>
        <v>#DIV/0!</v>
      </c>
      <c r="K69" s="356" t="e">
        <f t="shared" si="18"/>
        <v>#DIV/0!</v>
      </c>
      <c r="L69" s="368"/>
      <c r="M69" s="374" t="e">
        <f t="shared" si="12"/>
        <v>#DIV/0!</v>
      </c>
      <c r="N69" s="392" t="e">
        <f t="shared" si="20"/>
        <v>#DIV/0!</v>
      </c>
      <c r="O69" s="371"/>
      <c r="P69" s="372" t="e">
        <f t="shared" si="13"/>
        <v>#DIV/0!</v>
      </c>
      <c r="Q69" s="307">
        <f>(Q68+Q70)/2</f>
        <v>10150</v>
      </c>
      <c r="R69" s="308">
        <f t="shared" si="22"/>
        <v>15.946139712867335</v>
      </c>
      <c r="S69" s="309">
        <f t="shared" si="23"/>
        <v>2.2339832894354554</v>
      </c>
      <c r="T69" s="307">
        <f>(T68+T70)/2</f>
        <v>10150</v>
      </c>
      <c r="U69" s="308">
        <f t="shared" si="24"/>
        <v>-90295.036532072045</v>
      </c>
      <c r="V69" s="308">
        <f t="shared" si="25"/>
        <v>-1606.9706095574334</v>
      </c>
      <c r="W69" s="393">
        <f t="shared" si="26"/>
        <v>420.01093237913119</v>
      </c>
      <c r="X69" s="394">
        <f t="shared" si="27"/>
        <v>19.232937014906632</v>
      </c>
      <c r="Y69" s="395">
        <f t="shared" si="28"/>
        <v>12.477690658235751</v>
      </c>
      <c r="Z69" s="395">
        <f t="shared" si="28"/>
        <v>2.0552646262806191</v>
      </c>
      <c r="AA69" s="395">
        <f t="shared" si="28"/>
        <v>2.4127019525902922</v>
      </c>
      <c r="AB69" s="334"/>
      <c r="AC69" s="396" t="str">
        <f t="shared" si="29"/>
        <v>FAIL</v>
      </c>
      <c r="AD69" s="397" t="str">
        <f t="shared" si="30"/>
        <v>FAIL</v>
      </c>
      <c r="AE69" s="390"/>
    </row>
    <row r="70" spans="1:32" x14ac:dyDescent="0.25">
      <c r="A70" s="367"/>
      <c r="B70" s="368"/>
      <c r="C70" s="369"/>
      <c r="D70" s="368"/>
      <c r="E70" s="370">
        <f t="shared" si="14"/>
        <v>0</v>
      </c>
      <c r="F70" s="371"/>
      <c r="G70" s="372" t="str">
        <f t="shared" si="15"/>
        <v>OK</v>
      </c>
      <c r="H70" s="383" t="e">
        <f t="shared" si="16"/>
        <v>#DIV/0!</v>
      </c>
      <c r="I70" s="368"/>
      <c r="J70" s="372" t="e">
        <f t="shared" si="17"/>
        <v>#DIV/0!</v>
      </c>
      <c r="K70" s="356" t="e">
        <f t="shared" si="18"/>
        <v>#DIV/0!</v>
      </c>
      <c r="L70" s="368"/>
      <c r="M70" s="374" t="e">
        <f t="shared" si="12"/>
        <v>#DIV/0!</v>
      </c>
      <c r="N70" s="384" t="e">
        <f t="shared" si="20"/>
        <v>#DIV/0!</v>
      </c>
      <c r="O70" s="371"/>
      <c r="P70" s="372" t="e">
        <f t="shared" si="13"/>
        <v>#DIV/0!</v>
      </c>
      <c r="Q70" s="313">
        <f>$J$3</f>
        <v>11000</v>
      </c>
      <c r="R70" s="314">
        <f t="shared" si="22"/>
        <v>10.878983427000009</v>
      </c>
      <c r="S70" s="315">
        <f t="shared" si="23"/>
        <v>2.0764822614000007</v>
      </c>
      <c r="T70" s="313">
        <f>$J$3</f>
        <v>11000</v>
      </c>
      <c r="U70" s="314">
        <f t="shared" si="24"/>
        <v>-142521.97205099999</v>
      </c>
      <c r="V70" s="314">
        <f t="shared" si="25"/>
        <v>-2595.6240846700007</v>
      </c>
      <c r="W70" s="385">
        <f t="shared" si="26"/>
        <v>444.80670085917347</v>
      </c>
      <c r="X70" s="386">
        <f t="shared" si="27"/>
        <v>15.06778191805973</v>
      </c>
      <c r="Y70" s="387">
        <f t="shared" si="28"/>
        <v>6.100804721708883</v>
      </c>
      <c r="Z70" s="387">
        <f t="shared" si="28"/>
        <v>1.9103636804880006</v>
      </c>
      <c r="AA70" s="387">
        <f t="shared" si="28"/>
        <v>2.242600842312001</v>
      </c>
      <c r="AB70" s="334"/>
      <c r="AC70" s="388" t="str">
        <f t="shared" si="29"/>
        <v>FAIL</v>
      </c>
      <c r="AD70" s="389" t="str">
        <f t="shared" si="30"/>
        <v>FAIL</v>
      </c>
      <c r="AE70" s="390"/>
      <c r="AF70" s="400" t="s">
        <v>97</v>
      </c>
    </row>
    <row r="71" spans="1:32" x14ac:dyDescent="0.25">
      <c r="A71" s="367"/>
      <c r="B71" s="368"/>
      <c r="C71" s="369"/>
      <c r="D71" s="368"/>
      <c r="E71" s="310"/>
      <c r="F71" s="371"/>
      <c r="G71" s="311"/>
      <c r="H71" s="401"/>
      <c r="I71" s="368"/>
      <c r="J71" s="311"/>
      <c r="K71" s="402"/>
      <c r="L71" s="368"/>
      <c r="M71" s="403"/>
      <c r="N71" s="404"/>
      <c r="O71" s="371"/>
      <c r="P71" s="311"/>
      <c r="Q71" s="307">
        <f>(Q70+Q72)/2</f>
        <v>11500</v>
      </c>
      <c r="R71" s="308">
        <f t="shared" si="22"/>
        <v>6.8777239709687876</v>
      </c>
      <c r="S71" s="309">
        <f t="shared" si="23"/>
        <v>1.9168084970062509</v>
      </c>
      <c r="T71" s="307">
        <f>(T70+T72)/2</f>
        <v>11500</v>
      </c>
      <c r="U71" s="308">
        <f t="shared" si="24"/>
        <v>-183083.35163493745</v>
      </c>
      <c r="V71" s="308">
        <f t="shared" si="25"/>
        <v>-3371.3828718721866</v>
      </c>
      <c r="W71" s="376"/>
      <c r="X71" s="377"/>
      <c r="Y71" s="378"/>
      <c r="Z71" s="378"/>
      <c r="AA71" s="379"/>
      <c r="AB71" s="334"/>
      <c r="AC71" s="380"/>
      <c r="AD71" s="381"/>
      <c r="AE71" s="382"/>
    </row>
    <row r="72" spans="1:32" ht="13.2" thickBot="1" x14ac:dyDescent="0.3">
      <c r="A72" s="405"/>
      <c r="B72" s="406"/>
      <c r="C72" s="407"/>
      <c r="D72" s="406"/>
      <c r="E72" s="325"/>
      <c r="F72" s="408"/>
      <c r="G72" s="326"/>
      <c r="H72" s="409"/>
      <c r="I72" s="421"/>
      <c r="J72" s="326"/>
      <c r="K72" s="410"/>
      <c r="L72" s="406"/>
      <c r="M72" s="344"/>
      <c r="N72" s="411"/>
      <c r="O72" s="408"/>
      <c r="P72" s="326"/>
      <c r="Q72" s="322">
        <f>$N$3</f>
        <v>12000</v>
      </c>
      <c r="R72" s="323">
        <f t="shared" si="22"/>
        <v>1.7660538239999255</v>
      </c>
      <c r="S72" s="324">
        <f t="shared" si="23"/>
        <v>1.6844520287999956</v>
      </c>
      <c r="T72" s="322">
        <f>$N$3</f>
        <v>12000</v>
      </c>
      <c r="U72" s="323">
        <f t="shared" si="24"/>
        <v>-232422.75198200002</v>
      </c>
      <c r="V72" s="323">
        <f t="shared" si="25"/>
        <v>-4321.3098240399995</v>
      </c>
      <c r="W72" s="412"/>
      <c r="X72" s="413"/>
      <c r="Y72" s="414"/>
      <c r="Z72" s="414"/>
      <c r="AA72" s="415"/>
      <c r="AB72" s="416"/>
      <c r="AC72" s="417"/>
      <c r="AD72" s="418"/>
      <c r="AE72" s="419"/>
    </row>
    <row r="73" spans="1:32" x14ac:dyDescent="0.25">
      <c r="I73" s="422"/>
      <c r="L73" s="422">
        <v>1947.71</v>
      </c>
      <c r="O73" s="422">
        <v>13.292999999999999</v>
      </c>
    </row>
    <row r="74" spans="1:32" x14ac:dyDescent="0.25">
      <c r="I74" s="422"/>
      <c r="L74" s="422">
        <v>1859.93</v>
      </c>
      <c r="O74" s="422">
        <v>21.68</v>
      </c>
    </row>
    <row r="75" spans="1:32" x14ac:dyDescent="0.25">
      <c r="I75" s="422"/>
      <c r="L75" s="422">
        <v>1734.19</v>
      </c>
      <c r="O75" s="422">
        <v>22.914000000000001</v>
      </c>
    </row>
    <row r="76" spans="1:32" x14ac:dyDescent="0.25">
      <c r="I76" s="422"/>
      <c r="L76" s="422">
        <v>1606.82</v>
      </c>
      <c r="O76" s="422">
        <v>23.253</v>
      </c>
    </row>
    <row r="77" spans="1:32" x14ac:dyDescent="0.25">
      <c r="I77" s="422"/>
      <c r="L77" s="422">
        <v>1401.23</v>
      </c>
      <c r="O77" s="422">
        <v>23.824999999999999</v>
      </c>
    </row>
    <row r="78" spans="1:32" x14ac:dyDescent="0.25">
      <c r="I78" s="422"/>
      <c r="L78" s="422">
        <v>1252.47</v>
      </c>
      <c r="O78" s="422">
        <v>24.29</v>
      </c>
    </row>
    <row r="79" spans="1:32" x14ac:dyDescent="0.25">
      <c r="I79" s="422"/>
      <c r="L79" s="422">
        <v>1020.14</v>
      </c>
      <c r="O79" s="422">
        <v>24.669</v>
      </c>
    </row>
    <row r="80" spans="1:32" x14ac:dyDescent="0.25">
      <c r="I80" s="422"/>
      <c r="L80" s="422">
        <v>8.9600000000000009</v>
      </c>
      <c r="O80" s="422">
        <v>28.859000000000002</v>
      </c>
    </row>
  </sheetData>
  <mergeCells count="26">
    <mergeCell ref="X49:Y49"/>
    <mergeCell ref="A1:N1"/>
    <mergeCell ref="O1:T1"/>
    <mergeCell ref="U1:Z1"/>
    <mergeCell ref="AA1:AF1"/>
    <mergeCell ref="A4:N4"/>
    <mergeCell ref="A5:C5"/>
    <mergeCell ref="D5:I5"/>
    <mergeCell ref="AA5:AD5"/>
    <mergeCell ref="D6:E6"/>
    <mergeCell ref="F6:G6"/>
    <mergeCell ref="J8:M8"/>
    <mergeCell ref="J11:M11"/>
    <mergeCell ref="J14:M14"/>
    <mergeCell ref="AC58:AE58"/>
    <mergeCell ref="A51:L51"/>
    <mergeCell ref="A56:B56"/>
    <mergeCell ref="D56:F56"/>
    <mergeCell ref="H56:P56"/>
    <mergeCell ref="Q56:S56"/>
    <mergeCell ref="T56:W56"/>
    <mergeCell ref="A57:G57"/>
    <mergeCell ref="H57:P57"/>
    <mergeCell ref="Q57:S57"/>
    <mergeCell ref="T57:W57"/>
    <mergeCell ref="X57:AB57"/>
  </mergeCells>
  <pageMargins left="0.75" right="0.75" top="1" bottom="1" header="0.5" footer="0.5"/>
  <pageSetup paperSize="3" scale="53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D10"/>
  <sheetViews>
    <sheetView zoomScaleNormal="100" workbookViewId="0">
      <pane xSplit="3" ySplit="2" topLeftCell="L3" activePane="bottomRight" state="frozen"/>
      <selection pane="topRight" activeCell="D1" sqref="D1"/>
      <selection pane="bottomLeft" activeCell="A3" sqref="A3"/>
      <selection pane="bottomRight" activeCell="Z7" sqref="Z7"/>
    </sheetView>
  </sheetViews>
  <sheetFormatPr defaultRowHeight="12.6" x14ac:dyDescent="0.25"/>
  <cols>
    <col min="1" max="1" width="12.5546875" bestFit="1" customWidth="1"/>
    <col min="2" max="2" width="8" bestFit="1" customWidth="1"/>
    <col min="3" max="3" width="14.44140625" customWidth="1"/>
    <col min="4" max="4" width="12.109375" bestFit="1" customWidth="1"/>
    <col min="5" max="5" width="11.44140625" bestFit="1" customWidth="1"/>
    <col min="6" max="10" width="14.44140625" customWidth="1"/>
    <col min="11" max="11" width="7.109375" hidden="1" customWidth="1"/>
    <col min="12" max="12" width="8.5546875" bestFit="1" customWidth="1"/>
    <col min="13" max="13" width="8.88671875" style="1" bestFit="1" customWidth="1"/>
    <col min="14" max="14" width="8.5546875" style="1" bestFit="1" customWidth="1"/>
    <col min="15" max="15" width="7.88671875" style="2" bestFit="1" customWidth="1"/>
    <col min="16" max="16" width="8.77734375" style="1" bestFit="1" customWidth="1"/>
    <col min="17" max="17" width="9.77734375" style="1" bestFit="1" customWidth="1"/>
    <col min="18" max="18" width="8.21875" style="6" bestFit="1" customWidth="1"/>
    <col min="19" max="20" width="8.21875" style="1" bestFit="1" customWidth="1"/>
    <col min="21" max="21" width="6.5546875" style="1" bestFit="1" customWidth="1"/>
    <col min="22" max="22" width="8.5546875" style="6" bestFit="1" customWidth="1"/>
    <col min="23" max="24" width="8.5546875" style="1" bestFit="1" customWidth="1"/>
    <col min="25" max="25" width="13.33203125" style="3" customWidth="1"/>
    <col min="26" max="26" width="6.109375" bestFit="1" customWidth="1"/>
    <col min="27" max="27" width="12.6640625" style="3" customWidth="1"/>
    <col min="28" max="32" width="12.88671875" style="3" bestFit="1" customWidth="1"/>
    <col min="33" max="33" width="12.6640625" style="3" customWidth="1"/>
    <col min="34" max="38" width="12.88671875" style="3" bestFit="1" customWidth="1"/>
    <col min="39" max="39" width="12.6640625" bestFit="1" customWidth="1"/>
    <col min="40" max="44" width="12.88671875" bestFit="1" customWidth="1"/>
    <col min="45" max="46" width="12.88671875" customWidth="1"/>
    <col min="47" max="47" width="15.5546875" customWidth="1"/>
    <col min="48" max="61" width="12.88671875" customWidth="1"/>
    <col min="62" max="62" width="15.88671875" bestFit="1" customWidth="1"/>
    <col min="63" max="63" width="9.44140625" bestFit="1" customWidth="1"/>
    <col min="64" max="64" width="12.6640625" bestFit="1" customWidth="1"/>
    <col min="65" max="69" width="12.88671875" bestFit="1" customWidth="1"/>
    <col min="70" max="70" width="12.6640625" bestFit="1" customWidth="1"/>
    <col min="71" max="75" width="12.88671875" bestFit="1" customWidth="1"/>
    <col min="76" max="76" width="12.6640625" bestFit="1" customWidth="1"/>
    <col min="77" max="77" width="12.33203125" bestFit="1" customWidth="1"/>
    <col min="78" max="81" width="12.88671875" bestFit="1" customWidth="1"/>
    <col min="82" max="82" width="45.33203125" bestFit="1" customWidth="1"/>
  </cols>
  <sheetData>
    <row r="1" spans="1:82" s="150" customFormat="1" ht="41.25" customHeight="1" x14ac:dyDescent="0.25">
      <c r="A1" s="482"/>
      <c r="B1" s="482"/>
      <c r="C1" s="482"/>
      <c r="D1" s="482"/>
      <c r="E1" s="482"/>
      <c r="F1" s="482"/>
      <c r="G1" s="482"/>
      <c r="H1" s="482"/>
      <c r="I1" s="144"/>
      <c r="J1" s="144"/>
      <c r="K1" s="144"/>
      <c r="L1" s="144"/>
      <c r="M1" s="145" t="s">
        <v>103</v>
      </c>
      <c r="N1" s="145" t="s">
        <v>104</v>
      </c>
      <c r="O1" s="146" t="s">
        <v>105</v>
      </c>
      <c r="P1" s="145" t="s">
        <v>106</v>
      </c>
      <c r="Q1" s="145" t="s">
        <v>107</v>
      </c>
      <c r="R1" s="147" t="s">
        <v>108</v>
      </c>
      <c r="S1" s="145" t="s">
        <v>109</v>
      </c>
      <c r="T1" s="145" t="s">
        <v>110</v>
      </c>
      <c r="U1" s="145"/>
      <c r="V1" s="147" t="s">
        <v>111</v>
      </c>
      <c r="W1" s="145" t="s">
        <v>112</v>
      </c>
      <c r="X1" s="145" t="s">
        <v>113</v>
      </c>
      <c r="Y1" s="148"/>
      <c r="Z1" s="144"/>
      <c r="AA1" s="538" t="s">
        <v>38</v>
      </c>
      <c r="AB1" s="539"/>
      <c r="AC1" s="539"/>
      <c r="AD1" s="539"/>
      <c r="AE1" s="539"/>
      <c r="AF1" s="539"/>
      <c r="AG1" s="538" t="s">
        <v>39</v>
      </c>
      <c r="AH1" s="539"/>
      <c r="AI1" s="539"/>
      <c r="AJ1" s="539"/>
      <c r="AK1" s="539"/>
      <c r="AL1" s="539"/>
      <c r="AM1" s="538" t="s">
        <v>46</v>
      </c>
      <c r="AN1" s="539"/>
      <c r="AO1" s="539"/>
      <c r="AP1" s="539"/>
      <c r="AQ1" s="539"/>
      <c r="AR1" s="539"/>
      <c r="AS1" s="540" t="s">
        <v>114</v>
      </c>
      <c r="AT1" s="540"/>
      <c r="AU1" s="540"/>
      <c r="AV1" s="540"/>
      <c r="AW1" s="540"/>
      <c r="AX1" s="540"/>
      <c r="AY1" s="540"/>
      <c r="AZ1" s="540"/>
      <c r="BA1" s="540"/>
      <c r="BB1" s="540"/>
      <c r="BC1" s="540"/>
      <c r="BD1" s="540"/>
      <c r="BE1" s="540"/>
      <c r="BF1" s="540"/>
      <c r="BG1" s="540"/>
      <c r="BH1" s="540"/>
      <c r="BI1" s="540"/>
      <c r="BJ1" s="540"/>
      <c r="BK1" s="149" t="s">
        <v>65</v>
      </c>
      <c r="BL1" s="537" t="s">
        <v>66</v>
      </c>
      <c r="BM1" s="479"/>
      <c r="BN1" s="479"/>
      <c r="BO1" s="479"/>
      <c r="BP1" s="479"/>
      <c r="BQ1" s="488"/>
      <c r="BR1" s="537" t="s">
        <v>67</v>
      </c>
      <c r="BS1" s="479"/>
      <c r="BT1" s="479"/>
      <c r="BU1" s="479"/>
      <c r="BV1" s="479"/>
      <c r="BW1" s="488"/>
      <c r="BX1" s="537" t="s">
        <v>68</v>
      </c>
      <c r="BY1" s="479"/>
      <c r="BZ1" s="479"/>
      <c r="CA1" s="479"/>
      <c r="CB1" s="479"/>
      <c r="CC1" s="480"/>
      <c r="CD1" s="150" t="s">
        <v>69</v>
      </c>
    </row>
    <row r="2" spans="1:82" s="4" customFormat="1" ht="50.4" x14ac:dyDescent="0.25">
      <c r="A2" s="13" t="s">
        <v>0</v>
      </c>
      <c r="B2" s="14" t="s">
        <v>14</v>
      </c>
      <c r="C2" s="13" t="s">
        <v>15</v>
      </c>
      <c r="D2" s="15" t="s">
        <v>37</v>
      </c>
      <c r="E2" s="14" t="s">
        <v>16</v>
      </c>
      <c r="F2" s="15" t="s">
        <v>17</v>
      </c>
      <c r="G2" s="15" t="s">
        <v>18</v>
      </c>
      <c r="H2" s="15" t="s">
        <v>19</v>
      </c>
      <c r="I2" s="15" t="s">
        <v>21</v>
      </c>
      <c r="J2" s="15" t="s">
        <v>20</v>
      </c>
      <c r="K2" s="13" t="s">
        <v>1</v>
      </c>
      <c r="L2" s="15" t="s">
        <v>102</v>
      </c>
      <c r="M2" s="16" t="s">
        <v>22</v>
      </c>
      <c r="N2" s="16" t="s">
        <v>26</v>
      </c>
      <c r="O2" s="17" t="s">
        <v>23</v>
      </c>
      <c r="P2" s="16" t="s">
        <v>24</v>
      </c>
      <c r="Q2" s="16" t="s">
        <v>25</v>
      </c>
      <c r="R2" s="18" t="s">
        <v>27</v>
      </c>
      <c r="S2" s="16" t="s">
        <v>28</v>
      </c>
      <c r="T2" s="16" t="s">
        <v>29</v>
      </c>
      <c r="U2" s="19" t="s">
        <v>30</v>
      </c>
      <c r="V2" s="20" t="s">
        <v>31</v>
      </c>
      <c r="W2" s="16" t="s">
        <v>32</v>
      </c>
      <c r="X2" s="16" t="s">
        <v>33</v>
      </c>
      <c r="Y2" s="21" t="s">
        <v>36</v>
      </c>
      <c r="Z2" s="15" t="s">
        <v>34</v>
      </c>
      <c r="AA2" s="22" t="s">
        <v>2</v>
      </c>
      <c r="AB2" s="22" t="s">
        <v>3</v>
      </c>
      <c r="AC2" s="22" t="s">
        <v>4</v>
      </c>
      <c r="AD2" s="22" t="s">
        <v>5</v>
      </c>
      <c r="AE2" s="22" t="s">
        <v>6</v>
      </c>
      <c r="AF2" s="22" t="s">
        <v>7</v>
      </c>
      <c r="AG2" s="22" t="s">
        <v>8</v>
      </c>
      <c r="AH2" s="22" t="s">
        <v>9</v>
      </c>
      <c r="AI2" s="22" t="s">
        <v>10</v>
      </c>
      <c r="AJ2" s="22" t="s">
        <v>11</v>
      </c>
      <c r="AK2" s="22" t="s">
        <v>12</v>
      </c>
      <c r="AL2" s="22" t="s">
        <v>13</v>
      </c>
      <c r="AM2" s="22" t="s">
        <v>40</v>
      </c>
      <c r="AN2" s="22" t="s">
        <v>41</v>
      </c>
      <c r="AO2" s="22" t="s">
        <v>42</v>
      </c>
      <c r="AP2" s="22" t="s">
        <v>43</v>
      </c>
      <c r="AQ2" s="22" t="s">
        <v>44</v>
      </c>
      <c r="AR2" s="22" t="s">
        <v>45</v>
      </c>
      <c r="AS2" s="132" t="s">
        <v>115</v>
      </c>
      <c r="AT2" s="132" t="s">
        <v>116</v>
      </c>
      <c r="AU2" s="132" t="s">
        <v>117</v>
      </c>
      <c r="AV2" s="132" t="s">
        <v>118</v>
      </c>
      <c r="AW2" s="132" t="s">
        <v>119</v>
      </c>
      <c r="AX2" s="132" t="s">
        <v>120</v>
      </c>
      <c r="AY2" s="132" t="s">
        <v>121</v>
      </c>
      <c r="AZ2" s="132" t="s">
        <v>122</v>
      </c>
      <c r="BA2" s="132" t="s">
        <v>123</v>
      </c>
      <c r="BB2" s="132" t="s">
        <v>124</v>
      </c>
      <c r="BC2" s="132" t="s">
        <v>125</v>
      </c>
      <c r="BD2" s="132" t="s">
        <v>126</v>
      </c>
      <c r="BE2" s="132" t="s">
        <v>127</v>
      </c>
      <c r="BF2" s="132" t="s">
        <v>128</v>
      </c>
      <c r="BG2" s="132" t="s">
        <v>129</v>
      </c>
      <c r="BH2" s="132" t="s">
        <v>130</v>
      </c>
      <c r="BI2" s="132" t="s">
        <v>131</v>
      </c>
      <c r="BJ2" s="132" t="s">
        <v>132</v>
      </c>
      <c r="BL2" s="10" t="s">
        <v>47</v>
      </c>
      <c r="BM2" s="10" t="s">
        <v>48</v>
      </c>
      <c r="BN2" s="10" t="s">
        <v>49</v>
      </c>
      <c r="BO2" s="10" t="s">
        <v>50</v>
      </c>
      <c r="BP2" s="10" t="s">
        <v>51</v>
      </c>
      <c r="BQ2" s="11" t="s">
        <v>52</v>
      </c>
      <c r="BR2" s="9" t="s">
        <v>53</v>
      </c>
      <c r="BS2" s="10" t="s">
        <v>54</v>
      </c>
      <c r="BT2" s="10" t="s">
        <v>55</v>
      </c>
      <c r="BU2" s="10" t="s">
        <v>56</v>
      </c>
      <c r="BV2" s="10" t="s">
        <v>57</v>
      </c>
      <c r="BW2" s="11" t="s">
        <v>58</v>
      </c>
      <c r="BX2" s="9" t="s">
        <v>59</v>
      </c>
      <c r="BY2" s="10" t="s">
        <v>60</v>
      </c>
      <c r="BZ2" s="10" t="s">
        <v>61</v>
      </c>
      <c r="CA2" s="10" t="s">
        <v>62</v>
      </c>
      <c r="CB2" s="10" t="s">
        <v>63</v>
      </c>
      <c r="CC2" s="12" t="s">
        <v>64</v>
      </c>
    </row>
    <row r="3" spans="1:82" s="26" customFormat="1" x14ac:dyDescent="0.25">
      <c r="A3" s="27" t="s">
        <v>136</v>
      </c>
      <c r="B3" s="28">
        <v>400</v>
      </c>
      <c r="C3" s="27" t="s">
        <v>137</v>
      </c>
      <c r="D3" s="29"/>
      <c r="E3" s="35"/>
      <c r="F3" s="28"/>
      <c r="G3" s="28"/>
      <c r="H3" s="28"/>
      <c r="I3" s="30"/>
      <c r="J3" s="28"/>
      <c r="K3" s="27">
        <v>100</v>
      </c>
      <c r="L3" s="27"/>
      <c r="M3" s="31">
        <f>AA3</f>
        <v>34.578919999999997</v>
      </c>
      <c r="N3" s="31">
        <f>AG3</f>
        <v>0.25501099999999999</v>
      </c>
      <c r="O3" s="32">
        <v>700</v>
      </c>
      <c r="P3" s="31">
        <f>AA3+AB3*O3+AC3*O3^2+AD3*O3^3+AE3*O3^4+AF3*O3^5</f>
        <v>32.470848099800001</v>
      </c>
      <c r="Q3" s="31">
        <f>AG3+AH3*O3+AI3*O3^2+AJ3*O3^3+AK3*O3^4+AL3*O3^5</f>
        <v>0.33873762042499994</v>
      </c>
      <c r="R3" s="32">
        <v>1200</v>
      </c>
      <c r="S3" s="31">
        <f>AA3+AB3*R3+AC3*R3^2+AD3*R3^3+AE3*R3^4+AF3*R3^5</f>
        <v>27.062060604799996</v>
      </c>
      <c r="T3" s="31">
        <f>AG3+AH3*R3+AI3*R3^2+AJ3*R3^3+AK3*R3^4+AL3*R3^5</f>
        <v>0.37581834079999993</v>
      </c>
      <c r="U3" s="33">
        <f>(R3*S3*100)/(34.286*3960*T3)</f>
        <v>63.643217992758629</v>
      </c>
      <c r="V3" s="32">
        <v>1700</v>
      </c>
      <c r="W3" s="31">
        <f>AA3+AB3*V3+AC3*V3^2+AD3*V3^3+AE3*V3^4+AF3*V3^5</f>
        <v>10.90344260980001</v>
      </c>
      <c r="X3" s="31">
        <f>AG3+AH3*V3+AI3*V3^2+AJ3*V3^3+AK3*V3^4+AL3*V3^5</f>
        <v>0.37161918117500009</v>
      </c>
      <c r="Y3" s="34"/>
      <c r="Z3" s="27">
        <v>1900</v>
      </c>
      <c r="AA3" s="25">
        <v>34.578919999999997</v>
      </c>
      <c r="AB3" s="25">
        <v>2.748061E-3</v>
      </c>
      <c r="AC3" s="25">
        <v>-2.0896069999999999E-5</v>
      </c>
      <c r="AD3" s="25">
        <v>3.1696020000000001E-8</v>
      </c>
      <c r="AE3" s="25">
        <v>-2.2659780000000001E-11</v>
      </c>
      <c r="AF3" s="25">
        <v>4.6185400000000003E-15</v>
      </c>
      <c r="AG3" s="25">
        <v>0.25501099999999999</v>
      </c>
      <c r="AH3" s="25">
        <v>3.5073200000000002E-5</v>
      </c>
      <c r="AI3" s="25">
        <v>2.8384999999999999E-7</v>
      </c>
      <c r="AJ3" s="25">
        <v>-3.0247599999999999E-10</v>
      </c>
      <c r="AK3" s="25">
        <v>1.08211E-13</v>
      </c>
      <c r="AL3" s="25">
        <v>-1.2752500000000001E-17</v>
      </c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4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</row>
    <row r="4" spans="1:82" s="26" customFormat="1" x14ac:dyDescent="0.25">
      <c r="A4" s="420" t="s">
        <v>208</v>
      </c>
      <c r="B4" s="28">
        <v>538</v>
      </c>
      <c r="C4" s="420" t="s">
        <v>209</v>
      </c>
      <c r="D4" s="29"/>
      <c r="E4" s="35"/>
      <c r="F4" s="28"/>
      <c r="G4" s="28"/>
      <c r="H4" s="28"/>
      <c r="I4" s="30"/>
      <c r="J4" s="28"/>
      <c r="K4" s="27">
        <v>100</v>
      </c>
      <c r="L4" s="27"/>
      <c r="M4" s="31">
        <f>AA4</f>
        <v>54.3</v>
      </c>
      <c r="N4" s="31">
        <f>AG4</f>
        <v>2.8245</v>
      </c>
      <c r="O4" s="32">
        <v>500</v>
      </c>
      <c r="P4" s="31">
        <f>AA4+AB4*O4+AC4*O4^2+AD4*O4^3+AE4*O4^4+AF4*O4^5</f>
        <v>52.245569806781255</v>
      </c>
      <c r="Q4" s="31">
        <f>AG4+AH4*O4+AI4*O4^2+AJ4*O4^3+AK4*O4^4+AL4*O4^5</f>
        <v>2.7212485692937505</v>
      </c>
      <c r="R4" s="32">
        <v>7600</v>
      </c>
      <c r="S4" s="31">
        <f>AA4+AB4*R4+AC4*R4^2+AD4*R4^3+AE4*R4^4+AF4*R4^5</f>
        <v>26.279702160517104</v>
      </c>
      <c r="T4" s="31">
        <f>AG4+AH4*R4+AI4*R4^2+AJ4*R4^3+AK4*R4^4+AL4*R4^5</f>
        <v>2.3771875742807049</v>
      </c>
      <c r="U4" s="33">
        <f>(R4*S4*100)/(34.286*3960*T4)</f>
        <v>61.881178052058523</v>
      </c>
      <c r="V4" s="32">
        <v>11000</v>
      </c>
      <c r="W4" s="31">
        <f>AA4+AB4*V4+AC4*V4^2+AD4*V4^3+AE4*V4^4+AF4*V4^5</f>
        <v>10.878983427000009</v>
      </c>
      <c r="X4" s="31">
        <f>AG4+AH4*V4+AI4*V4^2+AJ4*V4^3+AK4*V4^4+AL4*V4^5</f>
        <v>2.0764822614000007</v>
      </c>
      <c r="Y4" s="34"/>
      <c r="Z4" s="27">
        <v>12000</v>
      </c>
      <c r="AA4" s="25">
        <v>54.3</v>
      </c>
      <c r="AB4" s="25">
        <v>-4.5550820000000002E-3</v>
      </c>
      <c r="AC4" s="25">
        <v>1.031675E-6</v>
      </c>
      <c r="AD4" s="25">
        <v>-2.9421260000000001E-10</v>
      </c>
      <c r="AE4" s="25">
        <v>3.210864E-14</v>
      </c>
      <c r="AF4" s="25">
        <v>-1.221063E-18</v>
      </c>
      <c r="AG4" s="25">
        <v>2.8245</v>
      </c>
      <c r="AH4" s="25">
        <v>-2.561385E-4</v>
      </c>
      <c r="AI4" s="25">
        <v>1.1078640000000001E-7</v>
      </c>
      <c r="AJ4" s="25">
        <v>-2.4189500000000001E-11</v>
      </c>
      <c r="AK4" s="25">
        <v>2.3610659999999999E-15</v>
      </c>
      <c r="AL4" s="25">
        <v>-8.51146E-20</v>
      </c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4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</row>
    <row r="5" spans="1:82" s="26" customFormat="1" x14ac:dyDescent="0.25">
      <c r="A5" s="420" t="s">
        <v>195</v>
      </c>
      <c r="B5" s="28">
        <v>538</v>
      </c>
      <c r="C5" s="420" t="s">
        <v>196</v>
      </c>
      <c r="D5" s="29"/>
      <c r="E5" s="35"/>
      <c r="F5" s="28"/>
      <c r="G5" s="28"/>
      <c r="H5" s="28"/>
      <c r="I5" s="30"/>
      <c r="J5" s="28"/>
      <c r="K5" s="27">
        <v>100</v>
      </c>
      <c r="L5" s="27"/>
      <c r="M5" s="31">
        <f>AA5</f>
        <v>49.358519999999999</v>
      </c>
      <c r="N5" s="31">
        <f>AG5</f>
        <v>2.8245</v>
      </c>
      <c r="O5" s="32">
        <v>500</v>
      </c>
      <c r="P5" s="31">
        <f>AA5+AB5*O5+AC5*O5^2+AD5*O5^3+AE5*O5^4+AF5*O5^5</f>
        <v>48.950690946678115</v>
      </c>
      <c r="Q5" s="31">
        <f>AG5+AH5*O5+AI5*O5^2+AJ5*O5^3+AK5*O5^4+AL5*O5^5</f>
        <v>2.7212485692937505</v>
      </c>
      <c r="R5" s="32">
        <v>7600</v>
      </c>
      <c r="S5" s="31">
        <f>AA5+AB5*R5+AC5*R5^2+AD5*R5^3+AE5*R5^4+AF5*R5^5</f>
        <v>21.539868960159218</v>
      </c>
      <c r="T5" s="31">
        <f>AG5+AH5*R5+AI5*R5^2+AJ5*R5^3+AK5*R5^4+AL5*R5^5</f>
        <v>2.3771875742807049</v>
      </c>
      <c r="U5" s="33">
        <f>(R5*S5*100)/(34.286*3960*T5)</f>
        <v>50.720227276555782</v>
      </c>
      <c r="V5" s="32">
        <v>11000</v>
      </c>
      <c r="W5" s="31">
        <f>AA5+AB5*V5+AC5*V5^2+AD5*V5^3+AE5*V5^4+AF5*V5^5</f>
        <v>-0.25465336030005403</v>
      </c>
      <c r="X5" s="31">
        <f>AG5+AH5*V5+AI5*V5^2+AJ5*V5^3+AK5*V5^4+AL5*V5^5</f>
        <v>2.0764822614000007</v>
      </c>
      <c r="Y5" s="34"/>
      <c r="Z5" s="27">
        <v>12000</v>
      </c>
      <c r="AA5" s="25">
        <v>49.358519999999999</v>
      </c>
      <c r="AB5" s="25">
        <v>-2.062927E-4</v>
      </c>
      <c r="AC5" s="25">
        <v>-1.2784990000000001E-6</v>
      </c>
      <c r="AD5" s="25">
        <v>1.1792989999999999E-10</v>
      </c>
      <c r="AE5" s="25">
        <v>3.5272990000000001E-15</v>
      </c>
      <c r="AF5" s="25">
        <v>-6.2870430000000003E-19</v>
      </c>
      <c r="AG5" s="25">
        <v>2.8245</v>
      </c>
      <c r="AH5" s="25">
        <v>-2.561385E-4</v>
      </c>
      <c r="AI5" s="25">
        <v>1.1078640000000001E-7</v>
      </c>
      <c r="AJ5" s="25">
        <v>-2.4189500000000001E-11</v>
      </c>
      <c r="AK5" s="25">
        <v>2.3610659999999999E-15</v>
      </c>
      <c r="AL5" s="25">
        <v>-8.51146E-20</v>
      </c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4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</row>
    <row r="6" spans="1:82" s="26" customFormat="1" x14ac:dyDescent="0.25">
      <c r="A6" s="420" t="s">
        <v>195</v>
      </c>
      <c r="B6" s="28">
        <v>538</v>
      </c>
      <c r="C6" s="420" t="s">
        <v>210</v>
      </c>
      <c r="D6" s="29"/>
      <c r="E6" s="35"/>
      <c r="F6" s="28"/>
      <c r="G6" s="28"/>
      <c r="H6" s="28"/>
      <c r="I6" s="30"/>
      <c r="J6" s="28"/>
      <c r="K6" s="27">
        <v>100</v>
      </c>
      <c r="L6" s="27"/>
      <c r="M6" s="31">
        <f>AA6</f>
        <v>61.933599999999998</v>
      </c>
      <c r="N6" s="31">
        <f>AG6</f>
        <v>1.6020000000000001</v>
      </c>
      <c r="O6" s="32">
        <v>4640</v>
      </c>
      <c r="P6" s="31">
        <f>AA6+AB6*O6+AC6*O6^2+AD6*O6^3+AE6*O6^4+AF6*O6^5</f>
        <v>51.157288376179764</v>
      </c>
      <c r="Q6" s="31">
        <f>AG6+AH6*O6+AI6*O6^2+AJ6*O6^3+AK6*O6^4+AL6*O6^5</f>
        <v>2.5740464989297713</v>
      </c>
      <c r="R6" s="32">
        <v>5800</v>
      </c>
      <c r="S6" s="31">
        <f>AA6+AB6*R6+AC6*R6^2+AD6*R6^3+AE6*R6^4+AF6*R6^5</f>
        <v>45.993450185472014</v>
      </c>
      <c r="T6" s="31">
        <f>AG6+AH6*R6+AI6*R6^2+AJ6*R6^3+AK6*R6^4+AL6*R6^5</f>
        <v>2.737059408709952</v>
      </c>
      <c r="U6" s="33">
        <f>(R6*S6*100)/(34.286*3960*T6)</f>
        <v>71.784016091992811</v>
      </c>
      <c r="V6" s="32">
        <v>6960</v>
      </c>
      <c r="W6" s="31">
        <f>AA6+AB6*V6+AC6*V6^2+AD6*V6^3+AE6*V6^4+AF6*V6^5</f>
        <v>36.008435400811493</v>
      </c>
      <c r="X6" s="31">
        <f>AG6+AH6*V6+AI6*V6^2+AJ6*V6^3+AK6*V6^4+AL6*V6^5</f>
        <v>2.8151309457033857</v>
      </c>
      <c r="Y6" s="34"/>
      <c r="Z6" s="27">
        <v>9500</v>
      </c>
      <c r="AA6" s="25">
        <v>61.933599999999998</v>
      </c>
      <c r="AB6" s="25">
        <v>2.9199999999999999E-3</v>
      </c>
      <c r="AC6" s="25">
        <v>-4.5899199999999996E-6</v>
      </c>
      <c r="AD6" s="25">
        <v>1.45977E-9</v>
      </c>
      <c r="AE6" s="25">
        <v>-1.92291E-13</v>
      </c>
      <c r="AF6" s="25">
        <v>8.2753999999999999E-18</v>
      </c>
      <c r="AG6" s="25">
        <v>1.6020000000000001</v>
      </c>
      <c r="AH6" s="25">
        <v>4.5583400000000001E-5</v>
      </c>
      <c r="AI6" s="25">
        <v>1.06038E-7</v>
      </c>
      <c r="AJ6" s="25">
        <v>-2.2699600000000002E-11</v>
      </c>
      <c r="AK6" s="25">
        <v>1.91469E-15</v>
      </c>
      <c r="AL6" s="25">
        <v>-6.6158600000000001E-20</v>
      </c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4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</row>
    <row r="7" spans="1:82" x14ac:dyDescent="0.25">
      <c r="A7" s="5" t="s">
        <v>35</v>
      </c>
    </row>
    <row r="9" spans="1:82" ht="13.2" thickBot="1" x14ac:dyDescent="0.3">
      <c r="A9" s="141" t="s">
        <v>100</v>
      </c>
      <c r="B9" s="141"/>
    </row>
    <row r="10" spans="1:82" ht="13.2" thickBot="1" x14ac:dyDescent="0.3">
      <c r="A10" s="142" t="s">
        <v>101</v>
      </c>
      <c r="B10" s="143"/>
    </row>
  </sheetData>
  <mergeCells count="8">
    <mergeCell ref="BX1:CC1"/>
    <mergeCell ref="AA1:AF1"/>
    <mergeCell ref="AG1:AL1"/>
    <mergeCell ref="A1:H1"/>
    <mergeCell ref="AM1:AR1"/>
    <mergeCell ref="BL1:BQ1"/>
    <mergeCell ref="BR1:BW1"/>
    <mergeCell ref="AS1:BJ1"/>
  </mergeCells>
  <phoneticPr fontId="3" type="noConversion"/>
  <pageMargins left="0.75" right="0.75" top="1" bottom="1" header="0.5" footer="0.5"/>
  <pageSetup paperSize="3" scale="61" fitToWidth="3" fitToHeight="3" orientation="landscape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2"/>
  <sheetViews>
    <sheetView zoomScale="90" zoomScaleNormal="90" workbookViewId="0">
      <selection activeCell="AA3" sqref="AA3:AF4"/>
    </sheetView>
  </sheetViews>
  <sheetFormatPr defaultRowHeight="12.6" x14ac:dyDescent="0.25"/>
  <cols>
    <col min="1" max="1" width="12.6640625" customWidth="1"/>
    <col min="2" max="2" width="14.109375" customWidth="1"/>
    <col min="3" max="3" width="15.33203125" customWidth="1"/>
    <col min="4" max="4" width="14.109375" customWidth="1"/>
    <col min="5" max="5" width="13" customWidth="1"/>
    <col min="6" max="6" width="13.33203125" customWidth="1"/>
    <col min="7" max="7" width="13.88671875" customWidth="1"/>
    <col min="8" max="8" width="13.5546875" customWidth="1"/>
    <col min="9" max="9" width="14.109375" customWidth="1"/>
    <col min="10" max="10" width="14.44140625" customWidth="1"/>
    <col min="11" max="11" width="13.88671875" customWidth="1"/>
    <col min="12" max="12" width="14.6640625" customWidth="1"/>
    <col min="13" max="13" width="14" customWidth="1"/>
    <col min="14" max="14" width="16.21875" customWidth="1"/>
    <col min="15" max="15" width="14" customWidth="1"/>
    <col min="16" max="16" width="14.109375" customWidth="1"/>
    <col min="17" max="17" width="14.88671875" style="3" customWidth="1"/>
    <col min="18" max="18" width="13.88671875" style="3" customWidth="1"/>
    <col min="19" max="19" width="14.44140625" style="3" customWidth="1"/>
    <col min="20" max="20" width="13.5546875" style="3" customWidth="1"/>
    <col min="21" max="22" width="13.88671875" customWidth="1"/>
    <col min="23" max="23" width="14.6640625" customWidth="1"/>
    <col min="24" max="24" width="13.5546875" customWidth="1"/>
    <col min="25" max="25" width="14.6640625" customWidth="1"/>
    <col min="26" max="26" width="13.5546875" customWidth="1"/>
    <col min="31" max="31" width="13.33203125" customWidth="1"/>
  </cols>
  <sheetData>
    <row r="1" spans="1:32" ht="41.25" customHeight="1" x14ac:dyDescent="0.25">
      <c r="A1" s="467" t="s">
        <v>138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9"/>
      <c r="O1" s="462" t="s">
        <v>38</v>
      </c>
      <c r="P1" s="463"/>
      <c r="Q1" s="463"/>
      <c r="R1" s="463"/>
      <c r="S1" s="463"/>
      <c r="T1" s="463"/>
      <c r="U1" s="462" t="s">
        <v>39</v>
      </c>
      <c r="V1" s="463"/>
      <c r="W1" s="463"/>
      <c r="X1" s="463"/>
      <c r="Y1" s="463"/>
      <c r="Z1" s="464"/>
    </row>
    <row r="2" spans="1:32" s="4" customFormat="1" ht="54" thickBot="1" x14ac:dyDescent="0.55000000000000004">
      <c r="A2" s="128" t="s">
        <v>22</v>
      </c>
      <c r="B2" s="16" t="s">
        <v>26</v>
      </c>
      <c r="C2" s="17" t="s">
        <v>23</v>
      </c>
      <c r="D2" s="16" t="s">
        <v>24</v>
      </c>
      <c r="E2" s="16" t="s">
        <v>25</v>
      </c>
      <c r="F2" s="18" t="s">
        <v>27</v>
      </c>
      <c r="G2" s="16" t="s">
        <v>28</v>
      </c>
      <c r="H2" s="16" t="s">
        <v>29</v>
      </c>
      <c r="I2" s="19" t="s">
        <v>30</v>
      </c>
      <c r="J2" s="20" t="s">
        <v>31</v>
      </c>
      <c r="K2" s="16" t="s">
        <v>32</v>
      </c>
      <c r="L2" s="16" t="s">
        <v>33</v>
      </c>
      <c r="M2" s="16"/>
      <c r="N2" s="15" t="s">
        <v>34</v>
      </c>
      <c r="O2" s="22" t="s">
        <v>189</v>
      </c>
      <c r="P2" s="22" t="s">
        <v>2</v>
      </c>
      <c r="Q2" s="22" t="s">
        <v>3</v>
      </c>
      <c r="R2" s="22" t="s">
        <v>4</v>
      </c>
      <c r="S2" s="22" t="s">
        <v>5</v>
      </c>
      <c r="T2" s="22" t="s">
        <v>6</v>
      </c>
      <c r="U2" s="22" t="s">
        <v>188</v>
      </c>
      <c r="V2" s="22" t="s">
        <v>8</v>
      </c>
      <c r="W2" s="22" t="s">
        <v>9</v>
      </c>
      <c r="X2" s="22" t="s">
        <v>10</v>
      </c>
      <c r="Y2" s="22" t="s">
        <v>11</v>
      </c>
      <c r="Z2" s="129" t="s">
        <v>12</v>
      </c>
      <c r="AA2" s="432" t="s">
        <v>133</v>
      </c>
      <c r="AB2" s="433"/>
      <c r="AC2" s="433"/>
      <c r="AD2" s="433"/>
      <c r="AE2" s="433"/>
      <c r="AF2" s="433"/>
    </row>
    <row r="3" spans="1:32" s="4" customFormat="1" ht="13.2" thickBot="1" x14ac:dyDescent="0.3">
      <c r="A3" s="133">
        <f>'Pump coeff'!M3</f>
        <v>34.578919999999997</v>
      </c>
      <c r="B3" s="134">
        <f>'Pump coeff'!N3</f>
        <v>0.25501099999999999</v>
      </c>
      <c r="C3" s="135">
        <f>'Pump coeff'!O3</f>
        <v>700</v>
      </c>
      <c r="D3" s="134">
        <f>'Pump coeff'!P3</f>
        <v>32.470848099800001</v>
      </c>
      <c r="E3" s="134">
        <f>'Pump coeff'!Q3</f>
        <v>0.33873762042499994</v>
      </c>
      <c r="F3" s="135">
        <f>'Pump coeff'!R3</f>
        <v>1200</v>
      </c>
      <c r="G3" s="134">
        <f>'Pump coeff'!S3</f>
        <v>27.062060604799996</v>
      </c>
      <c r="H3" s="134">
        <f>'Pump coeff'!T3</f>
        <v>0.37581834079999993</v>
      </c>
      <c r="I3" s="136">
        <f>'Pump coeff'!U3</f>
        <v>63.643217992758629</v>
      </c>
      <c r="J3" s="135">
        <f>'Pump coeff'!V3</f>
        <v>1700</v>
      </c>
      <c r="K3" s="134">
        <f>'Pump coeff'!W3</f>
        <v>10.90344260980001</v>
      </c>
      <c r="L3" s="134">
        <f>'Pump coeff'!X3</f>
        <v>0.37161918117500009</v>
      </c>
      <c r="M3" s="137"/>
      <c r="N3" s="138">
        <f>'Pump coeff'!Z3</f>
        <v>1900</v>
      </c>
      <c r="O3" s="139">
        <f>'Pump coeff'!AA3</f>
        <v>34.578919999999997</v>
      </c>
      <c r="P3" s="139">
        <f>'Pump coeff'!AB3</f>
        <v>2.748061E-3</v>
      </c>
      <c r="Q3" s="139">
        <f>'Pump coeff'!AC3</f>
        <v>-2.0896069999999999E-5</v>
      </c>
      <c r="R3" s="139">
        <f>'Pump coeff'!AD3</f>
        <v>3.1696020000000001E-8</v>
      </c>
      <c r="S3" s="139">
        <f>'Pump coeff'!AE3</f>
        <v>-2.2659780000000001E-11</v>
      </c>
      <c r="T3" s="139">
        <f>'Pump coeff'!AF3</f>
        <v>4.6185400000000003E-15</v>
      </c>
      <c r="U3" s="139">
        <f>'Pump coeff'!AG3</f>
        <v>0.25501099999999999</v>
      </c>
      <c r="V3" s="139">
        <f>'Pump coeff'!AH3</f>
        <v>3.5073200000000002E-5</v>
      </c>
      <c r="W3" s="139">
        <f>'Pump coeff'!AI3</f>
        <v>2.8384999999999999E-7</v>
      </c>
      <c r="X3" s="139">
        <f>'Pump coeff'!AJ3</f>
        <v>-3.0247599999999999E-10</v>
      </c>
      <c r="Y3" s="139">
        <f>'Pump coeff'!AK3</f>
        <v>1.08211E-13</v>
      </c>
      <c r="Z3" s="234">
        <f>'Pump coeff'!AL3</f>
        <v>-1.2752500000000001E-17</v>
      </c>
      <c r="AA3" s="43" t="s">
        <v>182</v>
      </c>
      <c r="AB3" s="36" t="s">
        <v>183</v>
      </c>
      <c r="AC3" s="36" t="s">
        <v>184</v>
      </c>
      <c r="AD3" s="36" t="s">
        <v>185</v>
      </c>
      <c r="AE3" s="36" t="s">
        <v>186</v>
      </c>
      <c r="AF3" s="37" t="s">
        <v>187</v>
      </c>
    </row>
    <row r="4" spans="1:32" s="4" customFormat="1" ht="13.2" thickBot="1" x14ac:dyDescent="0.3">
      <c r="A4" s="470" t="s">
        <v>181</v>
      </c>
      <c r="B4" s="471"/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235"/>
      <c r="AA4" s="236"/>
      <c r="AB4" s="237"/>
      <c r="AC4" s="237"/>
      <c r="AD4" s="237"/>
      <c r="AE4" s="237"/>
      <c r="AF4" s="238"/>
    </row>
    <row r="5" spans="1:32" ht="13.2" thickBot="1" x14ac:dyDescent="0.3">
      <c r="A5" s="437" t="s">
        <v>76</v>
      </c>
      <c r="B5" s="438"/>
      <c r="C5" s="472"/>
      <c r="D5" s="437" t="s">
        <v>84</v>
      </c>
      <c r="E5" s="438"/>
      <c r="F5" s="439"/>
      <c r="G5" s="439"/>
      <c r="H5" s="439"/>
      <c r="I5" s="440"/>
      <c r="J5" s="69"/>
      <c r="K5" s="69"/>
      <c r="L5" s="69"/>
      <c r="M5" s="69"/>
      <c r="N5" s="69"/>
      <c r="AA5" s="434" t="s">
        <v>180</v>
      </c>
      <c r="AB5" s="435"/>
      <c r="AC5" s="435"/>
      <c r="AD5" s="436"/>
    </row>
    <row r="6" spans="1:32" ht="38.25" customHeight="1" thickBot="1" x14ac:dyDescent="0.3">
      <c r="A6" s="63"/>
      <c r="B6" s="64"/>
      <c r="C6" s="65"/>
      <c r="D6" s="465" t="s">
        <v>85</v>
      </c>
      <c r="E6" s="466"/>
      <c r="F6" s="465" t="s">
        <v>86</v>
      </c>
      <c r="G6" s="466"/>
      <c r="H6" s="66"/>
      <c r="I6" s="67"/>
      <c r="J6" s="69"/>
      <c r="K6" s="69"/>
      <c r="L6" s="69"/>
      <c r="M6" s="69"/>
      <c r="N6" s="69"/>
      <c r="AA6" s="151"/>
      <c r="AB6" s="152"/>
      <c r="AC6" s="153"/>
      <c r="AD6" s="154"/>
    </row>
    <row r="7" spans="1:32" x14ac:dyDescent="0.25">
      <c r="A7" s="43" t="s">
        <v>70</v>
      </c>
      <c r="B7" s="36" t="s">
        <v>72</v>
      </c>
      <c r="C7" s="37" t="s">
        <v>74</v>
      </c>
      <c r="D7" s="43" t="s">
        <v>78</v>
      </c>
      <c r="E7" s="36" t="s">
        <v>81</v>
      </c>
      <c r="F7" s="36" t="s">
        <v>80</v>
      </c>
      <c r="G7" s="36" t="s">
        <v>79</v>
      </c>
      <c r="H7" s="36" t="s">
        <v>82</v>
      </c>
      <c r="I7" s="37" t="s">
        <v>83</v>
      </c>
      <c r="J7" s="70"/>
      <c r="K7" s="70"/>
      <c r="L7" s="70"/>
      <c r="M7" s="70"/>
      <c r="N7" s="70"/>
      <c r="AA7" s="43" t="s">
        <v>70</v>
      </c>
      <c r="AB7" s="36" t="s">
        <v>72</v>
      </c>
      <c r="AC7" s="38" t="s">
        <v>74</v>
      </c>
      <c r="AD7" s="155" t="s">
        <v>135</v>
      </c>
    </row>
    <row r="8" spans="1:32" ht="13.2" thickBot="1" x14ac:dyDescent="0.3">
      <c r="A8" s="44" t="s">
        <v>71</v>
      </c>
      <c r="B8" s="45" t="s">
        <v>73</v>
      </c>
      <c r="C8" s="46" t="s">
        <v>75</v>
      </c>
      <c r="D8" s="44" t="s">
        <v>71</v>
      </c>
      <c r="E8" s="45" t="s">
        <v>73</v>
      </c>
      <c r="F8" s="45" t="s">
        <v>71</v>
      </c>
      <c r="G8" s="45" t="s">
        <v>73</v>
      </c>
      <c r="H8" s="45" t="s">
        <v>75</v>
      </c>
      <c r="I8" s="46" t="s">
        <v>75</v>
      </c>
      <c r="J8" s="70" t="s">
        <v>98</v>
      </c>
      <c r="K8" s="70"/>
      <c r="L8" s="70"/>
      <c r="M8" s="70"/>
      <c r="N8" s="70"/>
      <c r="AA8" s="44" t="s">
        <v>71</v>
      </c>
      <c r="AB8" s="45" t="s">
        <v>73</v>
      </c>
      <c r="AC8" s="68" t="s">
        <v>75</v>
      </c>
      <c r="AD8" s="156" t="s">
        <v>92</v>
      </c>
    </row>
    <row r="9" spans="1:32" x14ac:dyDescent="0.25">
      <c r="A9" s="47">
        <v>0</v>
      </c>
      <c r="B9" s="48">
        <f>O3</f>
        <v>34.578919999999997</v>
      </c>
      <c r="C9" s="60">
        <f>U3</f>
        <v>0.25501099999999999</v>
      </c>
      <c r="D9" s="47"/>
      <c r="E9" s="48"/>
      <c r="F9" s="49"/>
      <c r="G9" s="48"/>
      <c r="H9" s="49"/>
      <c r="I9" s="50"/>
      <c r="J9" s="6">
        <f>A11</f>
        <v>700</v>
      </c>
      <c r="K9">
        <v>0</v>
      </c>
      <c r="L9">
        <v>0</v>
      </c>
      <c r="M9">
        <v>0</v>
      </c>
      <c r="AA9" s="157">
        <f>A9</f>
        <v>0</v>
      </c>
      <c r="AB9" s="158">
        <f>O4</f>
        <v>0</v>
      </c>
      <c r="AC9" s="159">
        <f>U4</f>
        <v>0</v>
      </c>
      <c r="AD9" s="160">
        <f>AA4</f>
        <v>0</v>
      </c>
    </row>
    <row r="10" spans="1:32" x14ac:dyDescent="0.25">
      <c r="A10" s="51">
        <f>(A9+A11)/2</f>
        <v>350</v>
      </c>
      <c r="B10" s="8">
        <f t="shared" ref="B10:B21" si="0">$O$3+$P$3*A10+$Q$3*A10^2+$R$3*A10^3+$S$3*A10^4+$T$3*A10^5</f>
        <v>34.024158746931249</v>
      </c>
      <c r="C10" s="55">
        <f t="shared" ref="C10:C21" si="1">$U$3+$V$3*A10+$W$3*A10^2+$X$3*A10^3+$Y$3*A10^4+$Z$3*A10^5</f>
        <v>0.29064644929765621</v>
      </c>
      <c r="D10" s="51"/>
      <c r="E10" s="8"/>
      <c r="F10" s="7"/>
      <c r="G10" s="8"/>
      <c r="H10" s="7"/>
      <c r="I10" s="52"/>
      <c r="J10" s="6">
        <f>A11</f>
        <v>700</v>
      </c>
      <c r="K10">
        <v>40</v>
      </c>
      <c r="L10">
        <v>0.7</v>
      </c>
      <c r="M10">
        <v>70</v>
      </c>
      <c r="AA10" s="51">
        <f t="shared" ref="AA10:AA21" si="2">A10</f>
        <v>350</v>
      </c>
      <c r="AB10" s="8">
        <f>$O$4+$P$4*A10+$Q$4*A10^2+$R$4*A10^3+$S$4*A10^4+$T$4*A10^5</f>
        <v>0</v>
      </c>
      <c r="AC10" s="161">
        <f>$U$4+$V$4*AA10+$W$4*AA10^2+$X$4*AA10^3+$Y$4*AA10^4+$Z$4*AA10^5</f>
        <v>0</v>
      </c>
      <c r="AD10" s="162">
        <f>$AA$4+$AB$4*AA10+$AC$4*AA10^2+$AD$4*AA10^3+$AE$4*AA10^4+$AF$4*AA10^5</f>
        <v>0</v>
      </c>
    </row>
    <row r="11" spans="1:32" s="39" customFormat="1" x14ac:dyDescent="0.25">
      <c r="A11" s="61">
        <f>$C$3</f>
        <v>700</v>
      </c>
      <c r="B11" s="41">
        <f t="shared" si="0"/>
        <v>32.470848099800001</v>
      </c>
      <c r="C11" s="54">
        <f t="shared" si="1"/>
        <v>0.33873762042499994</v>
      </c>
      <c r="D11" s="53">
        <f t="shared" ref="D11:D19" si="3">0.95*A11</f>
        <v>665</v>
      </c>
      <c r="E11" s="41">
        <f t="shared" ref="E11:E19" si="4">($O$3+$P$3*D11+$Q$3*D11^2+$R$3*D11^3+$S$3*D11^4+$T$3*D11^5)*1.05</f>
        <v>34.288794150098845</v>
      </c>
      <c r="F11" s="42">
        <f t="shared" ref="F11:F19" si="5">1.05*A11</f>
        <v>735</v>
      </c>
      <c r="G11" s="41">
        <f t="shared" ref="G11:G19" si="6">($O$3+$P$3*F11+$Q$3*F11^2+$R$3*F11^3+$S$3*F11^4+$T$3*F11^5)*0.95</f>
        <v>30.659498613341036</v>
      </c>
      <c r="H11" s="41">
        <f t="shared" ref="H11:H19" si="7">C11*0.92</f>
        <v>0.31163861079099997</v>
      </c>
      <c r="I11" s="54">
        <f t="shared" ref="I11:I19" si="8">1.08*C11</f>
        <v>0.36583663005899997</v>
      </c>
      <c r="J11" s="130" t="s">
        <v>96</v>
      </c>
      <c r="K11" s="130"/>
      <c r="L11" s="130"/>
      <c r="M11" s="130"/>
      <c r="N11" s="130"/>
      <c r="Q11" s="40"/>
      <c r="R11" s="40"/>
      <c r="S11" s="40"/>
      <c r="T11" s="40"/>
      <c r="AA11" s="51">
        <f t="shared" si="2"/>
        <v>700</v>
      </c>
      <c r="AB11" s="8">
        <f t="shared" ref="AB11:AB21" si="9">$O$4+$P$4*A11+$Q$4*A11^2+$R$4*A11^3+$S$4*A11^4+$T$4*A11^5</f>
        <v>0</v>
      </c>
      <c r="AC11" s="161">
        <f t="shared" ref="AC11:AC21" si="10">$U$4+$V$4*AA11+$W$4*AA11^2+$X$4*AA11^3+$Y$4*AA11^4+$Z$4*AA11^5</f>
        <v>0</v>
      </c>
      <c r="AD11" s="162">
        <f t="shared" ref="AD11:AD21" si="11">$AA$4+$AB$4*AA11+$AC$4*AA11^2+$AD$4*AA11^3+$AE$4*AA11^4+$AF$4*AA11^5</f>
        <v>0</v>
      </c>
    </row>
    <row r="12" spans="1:32" x14ac:dyDescent="0.25">
      <c r="A12" s="51">
        <f>(A11+A13)/2</f>
        <v>825</v>
      </c>
      <c r="B12" s="8">
        <f t="shared" si="0"/>
        <v>31.689462103857611</v>
      </c>
      <c r="C12" s="55">
        <f t="shared" si="1"/>
        <v>0.35255181358210447</v>
      </c>
      <c r="D12" s="51">
        <f t="shared" si="3"/>
        <v>783.75</v>
      </c>
      <c r="E12" s="8">
        <f t="shared" si="4"/>
        <v>33.570838087227592</v>
      </c>
      <c r="F12" s="7">
        <f t="shared" si="5"/>
        <v>866.25</v>
      </c>
      <c r="G12" s="8">
        <f t="shared" si="6"/>
        <v>29.807079605037579</v>
      </c>
      <c r="H12" s="8">
        <f t="shared" si="7"/>
        <v>0.32434766849553615</v>
      </c>
      <c r="I12" s="55">
        <f t="shared" si="8"/>
        <v>0.38075595866867284</v>
      </c>
      <c r="J12" s="131">
        <f>A15</f>
        <v>1200</v>
      </c>
      <c r="K12" s="130">
        <v>0</v>
      </c>
      <c r="L12" s="130">
        <v>0</v>
      </c>
      <c r="M12" s="130">
        <v>0</v>
      </c>
      <c r="N12" s="130"/>
      <c r="AA12" s="51">
        <f t="shared" si="2"/>
        <v>825</v>
      </c>
      <c r="AB12" s="8">
        <f t="shared" si="9"/>
        <v>0</v>
      </c>
      <c r="AC12" s="161">
        <f t="shared" si="10"/>
        <v>0</v>
      </c>
      <c r="AD12" s="162">
        <f t="shared" si="11"/>
        <v>0</v>
      </c>
    </row>
    <row r="13" spans="1:32" x14ac:dyDescent="0.25">
      <c r="A13" s="51">
        <f>(A11+A15)/2</f>
        <v>950</v>
      </c>
      <c r="B13" s="8">
        <f t="shared" si="0"/>
        <v>30.623455699956246</v>
      </c>
      <c r="C13" s="55">
        <f t="shared" si="1"/>
        <v>0.36344069891328118</v>
      </c>
      <c r="D13" s="51">
        <f t="shared" si="3"/>
        <v>902.5</v>
      </c>
      <c r="E13" s="8">
        <f t="shared" si="4"/>
        <v>32.624426296334313</v>
      </c>
      <c r="F13" s="7">
        <f t="shared" si="5"/>
        <v>997.5</v>
      </c>
      <c r="G13" s="8">
        <f t="shared" si="6"/>
        <v>28.608632418103369</v>
      </c>
      <c r="H13" s="8">
        <f t="shared" si="7"/>
        <v>0.3343654430002187</v>
      </c>
      <c r="I13" s="55">
        <f t="shared" si="8"/>
        <v>0.39251595482634372</v>
      </c>
      <c r="J13" s="131">
        <f>A15</f>
        <v>1200</v>
      </c>
      <c r="K13" s="130">
        <v>40</v>
      </c>
      <c r="L13" s="130">
        <v>0.7</v>
      </c>
      <c r="M13" s="130">
        <v>70</v>
      </c>
      <c r="N13" s="130"/>
      <c r="AA13" s="51">
        <f t="shared" si="2"/>
        <v>950</v>
      </c>
      <c r="AB13" s="8">
        <f t="shared" si="9"/>
        <v>0</v>
      </c>
      <c r="AC13" s="161">
        <f t="shared" si="10"/>
        <v>0</v>
      </c>
      <c r="AD13" s="162">
        <f t="shared" si="11"/>
        <v>0</v>
      </c>
    </row>
    <row r="14" spans="1:32" x14ac:dyDescent="0.25">
      <c r="A14" s="51">
        <f>(A13+A15)/2</f>
        <v>1075</v>
      </c>
      <c r="B14" s="8">
        <f t="shared" si="0"/>
        <v>29.130005821933786</v>
      </c>
      <c r="C14" s="55">
        <f t="shared" si="1"/>
        <v>0.37117844488166507</v>
      </c>
      <c r="D14" s="51">
        <f t="shared" si="3"/>
        <v>1021.25</v>
      </c>
      <c r="E14" s="8">
        <f t="shared" si="4"/>
        <v>31.325811230879737</v>
      </c>
      <c r="F14" s="7">
        <f t="shared" si="5"/>
        <v>1128.75</v>
      </c>
      <c r="G14" s="8">
        <f t="shared" si="6"/>
        <v>26.903546098432454</v>
      </c>
      <c r="H14" s="8">
        <f t="shared" si="7"/>
        <v>0.3414841692911319</v>
      </c>
      <c r="I14" s="55">
        <f t="shared" si="8"/>
        <v>0.4008727204721983</v>
      </c>
      <c r="J14" s="130" t="s">
        <v>99</v>
      </c>
      <c r="K14" s="130"/>
      <c r="L14" s="130"/>
      <c r="M14" s="130"/>
      <c r="N14" s="130"/>
      <c r="AA14" s="51">
        <f t="shared" si="2"/>
        <v>1075</v>
      </c>
      <c r="AB14" s="8">
        <f t="shared" si="9"/>
        <v>0</v>
      </c>
      <c r="AC14" s="161">
        <f t="shared" si="10"/>
        <v>0</v>
      </c>
      <c r="AD14" s="162">
        <f t="shared" si="11"/>
        <v>0</v>
      </c>
    </row>
    <row r="15" spans="1:32" s="39" customFormat="1" x14ac:dyDescent="0.25">
      <c r="A15" s="61">
        <f>$F$3</f>
        <v>1200</v>
      </c>
      <c r="B15" s="41">
        <f t="shared" si="0"/>
        <v>27.062060604799996</v>
      </c>
      <c r="C15" s="54">
        <f t="shared" si="1"/>
        <v>0.37581834079999993</v>
      </c>
      <c r="D15" s="53">
        <f t="shared" si="3"/>
        <v>1140</v>
      </c>
      <c r="E15" s="41">
        <f t="shared" si="4"/>
        <v>29.542132025608542</v>
      </c>
      <c r="F15" s="42">
        <f t="shared" si="5"/>
        <v>1260</v>
      </c>
      <c r="G15" s="41">
        <f t="shared" si="6"/>
        <v>24.533748216213777</v>
      </c>
      <c r="H15" s="41">
        <f t="shared" si="7"/>
        <v>0.34575287353599993</v>
      </c>
      <c r="I15" s="54">
        <f t="shared" si="8"/>
        <v>0.40588380806399993</v>
      </c>
      <c r="J15" s="131">
        <f>A19</f>
        <v>1700</v>
      </c>
      <c r="K15" s="130">
        <v>0</v>
      </c>
      <c r="L15" s="130">
        <v>0</v>
      </c>
      <c r="M15" s="130">
        <v>0</v>
      </c>
      <c r="N15" s="130"/>
      <c r="Q15" s="40"/>
      <c r="R15" s="40"/>
      <c r="S15" s="40"/>
      <c r="T15" s="40"/>
      <c r="AA15" s="51">
        <f t="shared" si="2"/>
        <v>1200</v>
      </c>
      <c r="AB15" s="8">
        <f t="shared" si="9"/>
        <v>0</v>
      </c>
      <c r="AC15" s="161">
        <f t="shared" si="10"/>
        <v>0</v>
      </c>
      <c r="AD15" s="162">
        <f t="shared" si="11"/>
        <v>0</v>
      </c>
    </row>
    <row r="16" spans="1:32" x14ac:dyDescent="0.25">
      <c r="A16" s="51">
        <f>(A15+A17)/2</f>
        <v>1325</v>
      </c>
      <c r="B16" s="8">
        <f t="shared" si="0"/>
        <v>24.285252983369322</v>
      </c>
      <c r="C16" s="55">
        <f t="shared" si="1"/>
        <v>0.37764609578083502</v>
      </c>
      <c r="D16" s="51">
        <f t="shared" si="3"/>
        <v>1258.75</v>
      </c>
      <c r="E16" s="8">
        <f t="shared" si="4"/>
        <v>27.145156287766291</v>
      </c>
      <c r="F16" s="7">
        <f t="shared" si="5"/>
        <v>1391.25</v>
      </c>
      <c r="G16" s="8">
        <f t="shared" si="6"/>
        <v>21.36421205431725</v>
      </c>
      <c r="H16" s="8">
        <f t="shared" si="7"/>
        <v>0.34743440811836823</v>
      </c>
      <c r="I16" s="55">
        <f t="shared" si="8"/>
        <v>0.40785778344330187</v>
      </c>
      <c r="J16" s="131">
        <f>A19</f>
        <v>1700</v>
      </c>
      <c r="K16" s="130">
        <v>40</v>
      </c>
      <c r="L16" s="130">
        <v>0.7</v>
      </c>
      <c r="M16" s="130">
        <v>70</v>
      </c>
      <c r="N16" s="130"/>
      <c r="AA16" s="51">
        <f t="shared" si="2"/>
        <v>1325</v>
      </c>
      <c r="AB16" s="8">
        <f t="shared" si="9"/>
        <v>0</v>
      </c>
      <c r="AC16" s="161">
        <f t="shared" si="10"/>
        <v>0</v>
      </c>
      <c r="AD16" s="162">
        <f t="shared" si="11"/>
        <v>0</v>
      </c>
    </row>
    <row r="17" spans="1:30" x14ac:dyDescent="0.25">
      <c r="A17" s="51">
        <f>(A15+A19)/2</f>
        <v>1450</v>
      </c>
      <c r="B17" s="8">
        <f t="shared" si="0"/>
        <v>20.694814290893756</v>
      </c>
      <c r="C17" s="55">
        <f t="shared" si="1"/>
        <v>0.37713313768671869</v>
      </c>
      <c r="D17" s="51">
        <f t="shared" si="3"/>
        <v>1377.5</v>
      </c>
      <c r="E17" s="8">
        <f t="shared" si="4"/>
        <v>24.025021888316367</v>
      </c>
      <c r="F17" s="7">
        <f t="shared" si="5"/>
        <v>1522.5</v>
      </c>
      <c r="G17" s="8">
        <f t="shared" si="6"/>
        <v>17.303463796679726</v>
      </c>
      <c r="H17" s="8">
        <f t="shared" si="7"/>
        <v>0.3469624866717812</v>
      </c>
      <c r="I17" s="55">
        <f t="shared" si="8"/>
        <v>0.40730378870165623</v>
      </c>
      <c r="J17" s="130"/>
      <c r="K17" s="130"/>
      <c r="L17" s="130"/>
      <c r="M17" s="130"/>
      <c r="N17" s="130"/>
      <c r="AA17" s="51">
        <f t="shared" si="2"/>
        <v>1450</v>
      </c>
      <c r="AB17" s="8">
        <f t="shared" si="9"/>
        <v>0</v>
      </c>
      <c r="AC17" s="161">
        <f t="shared" si="10"/>
        <v>0</v>
      </c>
      <c r="AD17" s="162">
        <f t="shared" si="11"/>
        <v>0</v>
      </c>
    </row>
    <row r="18" spans="1:30" x14ac:dyDescent="0.25">
      <c r="A18" s="51">
        <f>(A17+A19)/2</f>
        <v>1575</v>
      </c>
      <c r="B18" s="8">
        <f t="shared" si="0"/>
        <v>16.232487857695538</v>
      </c>
      <c r="C18" s="55">
        <f t="shared" si="1"/>
        <v>0.37488991208039563</v>
      </c>
      <c r="D18" s="51">
        <f t="shared" si="3"/>
        <v>1496.25</v>
      </c>
      <c r="E18" s="8">
        <f t="shared" si="4"/>
        <v>20.103978753156863</v>
      </c>
      <c r="F18" s="7">
        <f t="shared" si="5"/>
        <v>1653.75</v>
      </c>
      <c r="G18" s="8">
        <f t="shared" si="6"/>
        <v>12.324089716691173</v>
      </c>
      <c r="H18" s="8">
        <f t="shared" si="7"/>
        <v>0.34489871911396397</v>
      </c>
      <c r="I18" s="55">
        <f t="shared" si="8"/>
        <v>0.40488110504682728</v>
      </c>
      <c r="J18" s="130"/>
      <c r="K18" s="130"/>
      <c r="L18" s="130"/>
      <c r="M18" s="130"/>
      <c r="N18" s="130"/>
      <c r="AA18" s="51">
        <f t="shared" si="2"/>
        <v>1575</v>
      </c>
      <c r="AB18" s="8">
        <f t="shared" si="9"/>
        <v>0</v>
      </c>
      <c r="AC18" s="161">
        <f t="shared" si="10"/>
        <v>0</v>
      </c>
      <c r="AD18" s="162">
        <f t="shared" si="11"/>
        <v>0</v>
      </c>
    </row>
    <row r="19" spans="1:30" s="39" customFormat="1" x14ac:dyDescent="0.25">
      <c r="A19" s="61">
        <f>$J$3</f>
        <v>1700</v>
      </c>
      <c r="B19" s="41">
        <f t="shared" si="0"/>
        <v>10.90344260980001</v>
      </c>
      <c r="C19" s="54">
        <f t="shared" si="1"/>
        <v>0.37161918117500009</v>
      </c>
      <c r="D19" s="53">
        <f t="shared" si="3"/>
        <v>1615</v>
      </c>
      <c r="E19" s="41">
        <f t="shared" si="4"/>
        <v>15.350130654337521</v>
      </c>
      <c r="F19" s="42">
        <f t="shared" si="5"/>
        <v>1785</v>
      </c>
      <c r="G19" s="41">
        <f t="shared" si="6"/>
        <v>6.4832433655806634</v>
      </c>
      <c r="H19" s="41">
        <f t="shared" si="7"/>
        <v>0.34188964668100008</v>
      </c>
      <c r="I19" s="54">
        <f t="shared" si="8"/>
        <v>0.4013487156690001</v>
      </c>
      <c r="J19" s="130"/>
      <c r="K19" s="130"/>
      <c r="L19" s="130"/>
      <c r="M19" s="130"/>
      <c r="N19" s="130"/>
      <c r="Q19" s="40"/>
      <c r="R19" s="40"/>
      <c r="S19" s="40"/>
      <c r="T19" s="40"/>
      <c r="AA19" s="51">
        <f t="shared" si="2"/>
        <v>1700</v>
      </c>
      <c r="AB19" s="8">
        <f t="shared" si="9"/>
        <v>0</v>
      </c>
      <c r="AC19" s="161">
        <f t="shared" si="10"/>
        <v>0</v>
      </c>
      <c r="AD19" s="162">
        <f t="shared" si="11"/>
        <v>0</v>
      </c>
    </row>
    <row r="20" spans="1:30" x14ac:dyDescent="0.25">
      <c r="A20" s="51">
        <f>(A19+A21)/2</f>
        <v>1800</v>
      </c>
      <c r="B20" s="8">
        <f t="shared" si="0"/>
        <v>6.0704990191999997</v>
      </c>
      <c r="C20" s="55">
        <f t="shared" si="1"/>
        <v>0.3687653623999998</v>
      </c>
      <c r="D20" s="51"/>
      <c r="E20" s="8"/>
      <c r="F20" s="7"/>
      <c r="G20" s="8"/>
      <c r="H20" s="7"/>
      <c r="I20" s="52"/>
      <c r="AA20" s="51">
        <f t="shared" si="2"/>
        <v>1800</v>
      </c>
      <c r="AB20" s="8">
        <f t="shared" si="9"/>
        <v>0</v>
      </c>
      <c r="AC20" s="161">
        <f t="shared" si="10"/>
        <v>0</v>
      </c>
      <c r="AD20" s="162">
        <f t="shared" si="11"/>
        <v>0</v>
      </c>
    </row>
    <row r="21" spans="1:30" ht="13.2" thickBot="1" x14ac:dyDescent="0.3">
      <c r="A21" s="56">
        <f>$N$3</f>
        <v>1900</v>
      </c>
      <c r="B21" s="57">
        <f t="shared" si="0"/>
        <v>0.82352819660003718</v>
      </c>
      <c r="C21" s="62">
        <f t="shared" si="1"/>
        <v>0.36611774412499992</v>
      </c>
      <c r="D21" s="56"/>
      <c r="E21" s="57"/>
      <c r="F21" s="58"/>
      <c r="G21" s="57"/>
      <c r="H21" s="58"/>
      <c r="I21" s="59"/>
      <c r="AA21" s="56">
        <f t="shared" si="2"/>
        <v>1900</v>
      </c>
      <c r="AB21" s="57">
        <f t="shared" si="9"/>
        <v>0</v>
      </c>
      <c r="AC21" s="163">
        <f t="shared" si="10"/>
        <v>0</v>
      </c>
      <c r="AD21" s="164">
        <f t="shared" si="11"/>
        <v>0</v>
      </c>
    </row>
    <row r="49" spans="1:32" ht="13.2" x14ac:dyDescent="0.25">
      <c r="X49" s="441"/>
      <c r="Y49" s="441"/>
    </row>
    <row r="50" spans="1:32" ht="13.2" thickBot="1" x14ac:dyDescent="0.3">
      <c r="X50" s="124"/>
      <c r="Y50" s="125"/>
    </row>
    <row r="51" spans="1:32" ht="13.2" thickBot="1" x14ac:dyDescent="0.3">
      <c r="A51" s="473" t="s">
        <v>164</v>
      </c>
      <c r="B51" s="474"/>
      <c r="C51" s="474"/>
      <c r="D51" s="474"/>
      <c r="E51" s="474"/>
      <c r="F51" s="474"/>
      <c r="G51" s="474"/>
      <c r="H51" s="474"/>
      <c r="I51" s="474"/>
      <c r="J51" s="474"/>
      <c r="K51" s="474"/>
      <c r="L51" s="475"/>
      <c r="M51" s="69"/>
      <c r="X51" s="124"/>
      <c r="Y51" s="125"/>
    </row>
    <row r="52" spans="1:32" x14ac:dyDescent="0.25">
      <c r="A52" s="72" t="s">
        <v>2</v>
      </c>
      <c r="B52" s="71" t="s">
        <v>3</v>
      </c>
      <c r="C52" s="71" t="s">
        <v>4</v>
      </c>
      <c r="D52" s="71" t="s">
        <v>5</v>
      </c>
      <c r="E52" s="71" t="s">
        <v>6</v>
      </c>
      <c r="F52" s="73" t="s">
        <v>7</v>
      </c>
      <c r="G52" s="74" t="s">
        <v>8</v>
      </c>
      <c r="H52" s="75" t="s">
        <v>9</v>
      </c>
      <c r="I52" s="75" t="s">
        <v>10</v>
      </c>
      <c r="J52" s="75" t="s">
        <v>11</v>
      </c>
      <c r="K52" s="75" t="s">
        <v>12</v>
      </c>
      <c r="L52" s="76" t="s">
        <v>13</v>
      </c>
      <c r="M52" s="87"/>
      <c r="X52" s="124"/>
      <c r="Y52" s="125"/>
    </row>
    <row r="53" spans="1:32" ht="13.2" thickBot="1" x14ac:dyDescent="0.3">
      <c r="A53" s="77">
        <v>33.794460000000001</v>
      </c>
      <c r="B53" s="78">
        <v>3.0133159999999998E-3</v>
      </c>
      <c r="C53" s="78">
        <v>-9.680564E-6</v>
      </c>
      <c r="D53" s="78">
        <v>2.406563E-8</v>
      </c>
      <c r="E53" s="78">
        <v>-2.4919489999999999E-11</v>
      </c>
      <c r="F53" s="79">
        <v>6.4322969999999998E-15</v>
      </c>
      <c r="G53" s="205">
        <v>0.28023160000000003</v>
      </c>
      <c r="H53" s="206">
        <v>-2.804037E-4</v>
      </c>
      <c r="I53" s="206">
        <v>1.6391220000000001E-6</v>
      </c>
      <c r="J53" s="206">
        <v>-1.9720519999999998E-9</v>
      </c>
      <c r="K53" s="206">
        <v>9.4703859999999997E-13</v>
      </c>
      <c r="L53" s="207">
        <v>-1.6353140000000001E-16</v>
      </c>
      <c r="M53" s="83"/>
      <c r="X53" s="124"/>
      <c r="Y53" s="125"/>
    </row>
    <row r="54" spans="1:32" x14ac:dyDescent="0.25">
      <c r="X54" s="126"/>
      <c r="Y54" s="125"/>
    </row>
    <row r="55" spans="1:32" ht="13.2" thickBot="1" x14ac:dyDescent="0.3"/>
    <row r="56" spans="1:32" ht="13.2" thickBot="1" x14ac:dyDescent="0.3">
      <c r="A56" s="458" t="s">
        <v>150</v>
      </c>
      <c r="B56" s="459"/>
      <c r="C56" s="172">
        <v>1</v>
      </c>
      <c r="D56" s="456" t="s">
        <v>149</v>
      </c>
      <c r="E56" s="457"/>
      <c r="F56" s="457"/>
      <c r="G56" s="172">
        <v>66</v>
      </c>
      <c r="H56" s="445" t="s">
        <v>88</v>
      </c>
      <c r="I56" s="446"/>
      <c r="J56" s="446"/>
      <c r="K56" s="460"/>
      <c r="L56" s="460"/>
      <c r="M56" s="460"/>
      <c r="N56" s="460"/>
      <c r="O56" s="460"/>
      <c r="P56" s="461"/>
      <c r="Q56" s="451" t="s">
        <v>76</v>
      </c>
      <c r="R56" s="452"/>
      <c r="S56" s="453"/>
      <c r="T56" s="445" t="s">
        <v>90</v>
      </c>
      <c r="U56" s="446"/>
      <c r="V56" s="446"/>
      <c r="W56" s="454"/>
      <c r="AA56" s="3"/>
      <c r="AB56" s="3"/>
      <c r="AC56" s="3"/>
      <c r="AD56" s="3"/>
    </row>
    <row r="57" spans="1:32" ht="13.2" thickBot="1" x14ac:dyDescent="0.3">
      <c r="A57" s="448" t="s">
        <v>148</v>
      </c>
      <c r="B57" s="449"/>
      <c r="C57" s="449"/>
      <c r="D57" s="449"/>
      <c r="E57" s="449"/>
      <c r="F57" s="449"/>
      <c r="G57" s="450"/>
      <c r="H57" s="445" t="s">
        <v>87</v>
      </c>
      <c r="I57" s="455"/>
      <c r="J57" s="455"/>
      <c r="K57" s="460"/>
      <c r="L57" s="460"/>
      <c r="M57" s="460"/>
      <c r="N57" s="460"/>
      <c r="O57" s="460"/>
      <c r="P57" s="461"/>
      <c r="Q57" s="445" t="s">
        <v>87</v>
      </c>
      <c r="R57" s="455"/>
      <c r="S57" s="454"/>
      <c r="T57" s="445" t="s">
        <v>87</v>
      </c>
      <c r="U57" s="455"/>
      <c r="V57" s="455"/>
      <c r="W57" s="454"/>
      <c r="X57" s="445" t="s">
        <v>77</v>
      </c>
      <c r="Y57" s="446"/>
      <c r="Z57" s="446"/>
      <c r="AA57" s="446"/>
      <c r="AB57" s="447"/>
      <c r="AC57" s="3"/>
      <c r="AD57" s="3"/>
    </row>
    <row r="58" spans="1:32" x14ac:dyDescent="0.25">
      <c r="A58" s="47" t="s">
        <v>139</v>
      </c>
      <c r="B58" s="36" t="s">
        <v>70</v>
      </c>
      <c r="C58" s="36" t="s">
        <v>142</v>
      </c>
      <c r="D58" s="36" t="s">
        <v>144</v>
      </c>
      <c r="E58" s="165" t="s">
        <v>151</v>
      </c>
      <c r="F58" s="165" t="s">
        <v>146</v>
      </c>
      <c r="G58" s="155" t="s">
        <v>147</v>
      </c>
      <c r="H58" s="43" t="s">
        <v>153</v>
      </c>
      <c r="I58" s="165" t="s">
        <v>154</v>
      </c>
      <c r="J58" s="155" t="s">
        <v>155</v>
      </c>
      <c r="K58" s="43" t="s">
        <v>156</v>
      </c>
      <c r="L58" s="165" t="s">
        <v>157</v>
      </c>
      <c r="M58" s="179" t="s">
        <v>158</v>
      </c>
      <c r="N58" s="43" t="s">
        <v>160</v>
      </c>
      <c r="O58" s="165" t="s">
        <v>161</v>
      </c>
      <c r="P58" s="155" t="s">
        <v>162</v>
      </c>
      <c r="Q58" s="43" t="s">
        <v>70</v>
      </c>
      <c r="R58" s="36" t="s">
        <v>72</v>
      </c>
      <c r="S58" s="37" t="s">
        <v>74</v>
      </c>
      <c r="T58" s="43" t="s">
        <v>70</v>
      </c>
      <c r="U58" s="36" t="s">
        <v>72</v>
      </c>
      <c r="V58" s="36" t="s">
        <v>74</v>
      </c>
      <c r="W58" s="37" t="s">
        <v>93</v>
      </c>
      <c r="X58" s="88" t="s">
        <v>81</v>
      </c>
      <c r="Y58" s="80" t="s">
        <v>79</v>
      </c>
      <c r="Z58" s="80" t="s">
        <v>82</v>
      </c>
      <c r="AA58" s="81" t="s">
        <v>83</v>
      </c>
      <c r="AB58" s="96" t="s">
        <v>91</v>
      </c>
      <c r="AC58" s="442" t="s">
        <v>94</v>
      </c>
      <c r="AD58" s="443"/>
      <c r="AE58" s="444"/>
    </row>
    <row r="59" spans="1:32" ht="13.2" thickBot="1" x14ac:dyDescent="0.3">
      <c r="A59" s="44" t="s">
        <v>141</v>
      </c>
      <c r="B59" s="45" t="s">
        <v>140</v>
      </c>
      <c r="C59" s="45" t="s">
        <v>143</v>
      </c>
      <c r="D59" s="45" t="s">
        <v>145</v>
      </c>
      <c r="E59" s="176" t="s">
        <v>89</v>
      </c>
      <c r="F59" s="176" t="s">
        <v>89</v>
      </c>
      <c r="G59" s="59" t="s">
        <v>152</v>
      </c>
      <c r="H59" s="44" t="s">
        <v>71</v>
      </c>
      <c r="I59" s="176" t="s">
        <v>71</v>
      </c>
      <c r="J59" s="59" t="s">
        <v>163</v>
      </c>
      <c r="K59" s="44" t="s">
        <v>73</v>
      </c>
      <c r="L59" s="176" t="s">
        <v>73</v>
      </c>
      <c r="M59" s="180" t="s">
        <v>163</v>
      </c>
      <c r="N59" s="44" t="s">
        <v>159</v>
      </c>
      <c r="O59" s="176" t="s">
        <v>159</v>
      </c>
      <c r="P59" s="59" t="s">
        <v>163</v>
      </c>
      <c r="Q59" s="44" t="s">
        <v>71</v>
      </c>
      <c r="R59" s="45" t="s">
        <v>73</v>
      </c>
      <c r="S59" s="46" t="s">
        <v>75</v>
      </c>
      <c r="T59" s="44" t="s">
        <v>71</v>
      </c>
      <c r="U59" s="45" t="s">
        <v>73</v>
      </c>
      <c r="V59" s="45" t="s">
        <v>75</v>
      </c>
      <c r="W59" s="46" t="s">
        <v>92</v>
      </c>
      <c r="X59" s="89" t="s">
        <v>73</v>
      </c>
      <c r="Y59" s="45" t="s">
        <v>73</v>
      </c>
      <c r="Z59" s="45" t="s">
        <v>75</v>
      </c>
      <c r="AA59" s="68" t="s">
        <v>75</v>
      </c>
      <c r="AB59" s="95" t="s">
        <v>92</v>
      </c>
      <c r="AC59" s="44" t="s">
        <v>72</v>
      </c>
      <c r="AD59" s="45" t="s">
        <v>74</v>
      </c>
      <c r="AE59" s="46" t="s">
        <v>93</v>
      </c>
    </row>
    <row r="60" spans="1:32" x14ac:dyDescent="0.25">
      <c r="A60" s="181">
        <v>5.0090000000000003</v>
      </c>
      <c r="B60" s="174">
        <v>4.78</v>
      </c>
      <c r="C60" s="175">
        <v>2995.5</v>
      </c>
      <c r="D60" s="174">
        <v>26.82</v>
      </c>
      <c r="E60" s="187">
        <f>ROUND(C60*D60/9549,3)</f>
        <v>8.4130000000000003</v>
      </c>
      <c r="F60" s="173">
        <v>8.4109999999999996</v>
      </c>
      <c r="G60" s="184" t="str">
        <f>IF(OR(E60-F60&gt;0.001*F60,E60-F60&lt;(-0.001)*F60),"ALARM","OK")</f>
        <v>OK</v>
      </c>
      <c r="H60" s="188">
        <f>ROUNDUP((B60*6.28981)*(3500/C60),1)</f>
        <v>35.200000000000003</v>
      </c>
      <c r="I60" s="191">
        <v>35.14</v>
      </c>
      <c r="J60" s="204" t="str">
        <f>IF(OR(H60-I60&gt;0.005*I60,H60-I60&lt;(-0.005)*I60),"ALARM","OK")</f>
        <v>OK</v>
      </c>
      <c r="K60" s="195">
        <f t="shared" ref="K60:K71" si="12">ROUNDUP((A60*(1000/9.81)*$C$56*3.28/$G$56)*(3500/C60)^2,2)</f>
        <v>34.65</v>
      </c>
      <c r="L60" s="174">
        <v>33.85</v>
      </c>
      <c r="M60" s="196" t="str">
        <f t="shared" ref="M60:M71" si="13">IF(OR(K60-L60&gt;0.005*L60,K60-L60&lt;(-0.005)*L60),"ALARM","OK")</f>
        <v>ALARM</v>
      </c>
      <c r="N60" s="198">
        <f>ROUNDUP((F60/(0.746*$G$56))*(3500/C60)^3,3)</f>
        <v>0.27300000000000002</v>
      </c>
      <c r="O60" s="173">
        <v>0.27300000000000002</v>
      </c>
      <c r="P60" s="184" t="str">
        <f t="shared" ref="P60:P71" si="14">IF(OR(N60-O60&gt;0.005*O60,N60-O60&lt;(-0.005)*O60),"ALARM","OK")</f>
        <v>OK</v>
      </c>
      <c r="Q60" s="47">
        <v>0</v>
      </c>
      <c r="R60" s="48">
        <f>B9</f>
        <v>34.578919999999997</v>
      </c>
      <c r="S60" s="60">
        <f>C9</f>
        <v>0.25501099999999999</v>
      </c>
      <c r="T60" s="47">
        <v>0</v>
      </c>
      <c r="U60" s="48">
        <f>A53</f>
        <v>33.794460000000001</v>
      </c>
      <c r="V60" s="48">
        <f>G53</f>
        <v>0.28023160000000003</v>
      </c>
      <c r="W60" s="91"/>
      <c r="X60" s="117"/>
      <c r="Y60" s="114"/>
      <c r="Z60" s="114"/>
      <c r="AA60" s="109"/>
      <c r="AB60" s="82"/>
      <c r="AC60" s="103"/>
      <c r="AD60" s="106"/>
      <c r="AE60" s="97"/>
    </row>
    <row r="61" spans="1:32" x14ac:dyDescent="0.25">
      <c r="A61" s="182">
        <v>5.117</v>
      </c>
      <c r="B61" s="167">
        <v>53.02</v>
      </c>
      <c r="C61" s="168">
        <v>2994.1</v>
      </c>
      <c r="D61" s="167">
        <v>31.21</v>
      </c>
      <c r="E61" s="144">
        <f t="shared" ref="E61:E71" si="15">ROUND(C61*D61/9549,3)</f>
        <v>9.7859999999999996</v>
      </c>
      <c r="F61" s="166">
        <v>9.7829999999999995</v>
      </c>
      <c r="G61" s="185" t="str">
        <f t="shared" ref="G61:G71" si="16">IF(OR(E61-F61&gt;0.001*F61,E61-F61&lt;(-0.001)*F61),"ALARM","OK")</f>
        <v>OK</v>
      </c>
      <c r="H61" s="189">
        <f t="shared" ref="H61:H71" si="17">ROUNDUP((B61*6.28981)*(3500/C61),1)</f>
        <v>389.90000000000003</v>
      </c>
      <c r="I61" s="167">
        <v>389.87</v>
      </c>
      <c r="J61" s="185" t="str">
        <f t="shared" ref="J61:J71" si="18">IF(OR(H61-I61&gt;0.005*I61,H61-I61&lt;(-0.005)*I61),"ALARM","OK")</f>
        <v>OK</v>
      </c>
      <c r="K61" s="146">
        <f t="shared" si="12"/>
        <v>35.43</v>
      </c>
      <c r="L61" s="167">
        <v>34.65</v>
      </c>
      <c r="M61" s="197" t="str">
        <f t="shared" si="13"/>
        <v>ALARM</v>
      </c>
      <c r="N61" s="199">
        <f t="shared" ref="N61:N71" si="19">ROUNDUP((F61/(0.746*$G$56))*(3500/C61)^3,3)</f>
        <v>0.318</v>
      </c>
      <c r="O61" s="166">
        <v>0.318</v>
      </c>
      <c r="P61" s="185" t="str">
        <f t="shared" si="14"/>
        <v>OK</v>
      </c>
      <c r="Q61" s="51">
        <f>(Q60+Q62)/2</f>
        <v>350</v>
      </c>
      <c r="R61" s="8">
        <f t="shared" ref="R61:R72" si="20">$O$3+$P$3*Q61+$Q$3*Q61^2+$R$3*Q61^3+$S$3*Q61^4+$T$3*Q61^5</f>
        <v>34.024158746931249</v>
      </c>
      <c r="S61" s="55">
        <f t="shared" ref="S61:S72" si="21">$U$3+$V$3*Q61+$W$3*Q61^2+$X$3*Q61^3+$Y$3*Q61^4+$Z$3*Q61^5</f>
        <v>0.29064644929765621</v>
      </c>
      <c r="T61" s="51">
        <f>(T60+T62)/2</f>
        <v>350</v>
      </c>
      <c r="U61" s="8">
        <f t="shared" ref="U61:U72" si="22">$A$53+$B$53*T61+$C$53*T61^2+$D$53*T61^3+$E$53*T61^4+$F$53*T61^5</f>
        <v>34.354900929337191</v>
      </c>
      <c r="V61" s="8">
        <f t="shared" ref="V61:V72" si="23">$G$53+$H$53*T61+$I$53*T61^2+$J$53*T61^3+$K$53*T61^4+$L$53*T61^5</f>
        <v>0.31168362091631252</v>
      </c>
      <c r="W61" s="92"/>
      <c r="X61" s="118"/>
      <c r="Y61" s="115"/>
      <c r="Z61" s="115"/>
      <c r="AA61" s="110"/>
      <c r="AB61" s="83"/>
      <c r="AC61" s="104"/>
      <c r="AD61" s="107"/>
      <c r="AE61" s="98"/>
    </row>
    <row r="62" spans="1:32" x14ac:dyDescent="0.25">
      <c r="A62" s="182">
        <v>5.0620000000000003</v>
      </c>
      <c r="B62" s="167">
        <v>92.39</v>
      </c>
      <c r="C62" s="168">
        <v>2995.6</v>
      </c>
      <c r="D62" s="167">
        <v>41.56</v>
      </c>
      <c r="E62" s="144">
        <f t="shared" si="15"/>
        <v>13.038</v>
      </c>
      <c r="F62" s="166">
        <v>13.042999999999999</v>
      </c>
      <c r="G62" s="185" t="str">
        <f t="shared" si="16"/>
        <v>OK</v>
      </c>
      <c r="H62" s="190">
        <f t="shared" si="17"/>
        <v>679</v>
      </c>
      <c r="I62" s="167">
        <v>678.99</v>
      </c>
      <c r="J62" s="185" t="str">
        <f t="shared" si="18"/>
        <v>OK</v>
      </c>
      <c r="K62" s="192">
        <f t="shared" si="12"/>
        <v>35.01</v>
      </c>
      <c r="L62" s="167">
        <v>34.24</v>
      </c>
      <c r="M62" s="197" t="str">
        <f t="shared" si="13"/>
        <v>ALARM</v>
      </c>
      <c r="N62" s="200">
        <f t="shared" si="19"/>
        <v>0.42299999999999999</v>
      </c>
      <c r="O62" s="166">
        <v>0.42299999999999999</v>
      </c>
      <c r="P62" s="185" t="str">
        <f t="shared" si="14"/>
        <v>OK</v>
      </c>
      <c r="Q62" s="61">
        <f>$C$3</f>
        <v>700</v>
      </c>
      <c r="R62" s="41">
        <f t="shared" si="20"/>
        <v>32.470848099800001</v>
      </c>
      <c r="S62" s="54">
        <f t="shared" si="21"/>
        <v>0.33873762042499994</v>
      </c>
      <c r="T62" s="61">
        <f>$C$3</f>
        <v>700</v>
      </c>
      <c r="U62" s="41">
        <f t="shared" si="22"/>
        <v>34.51272253778999</v>
      </c>
      <c r="V62" s="41">
        <f t="shared" si="23"/>
        <v>0.41060419946200011</v>
      </c>
      <c r="W62" s="94">
        <f t="shared" ref="W62:W70" si="24">(T62*U62*100)/(135788*V62)</f>
        <v>43.330378377279239</v>
      </c>
      <c r="X62" s="84">
        <f t="shared" ref="X62:X70" si="25">E11</f>
        <v>34.288794150098845</v>
      </c>
      <c r="Y62" s="112">
        <f t="shared" ref="Y62:Y70" si="26">G11</f>
        <v>30.659498613341036</v>
      </c>
      <c r="Z62" s="112">
        <f t="shared" ref="Z62:Z70" si="27">H11</f>
        <v>0.31163861079099997</v>
      </c>
      <c r="AA62" s="112">
        <f t="shared" ref="AA62:AA70" si="28">I11</f>
        <v>0.36583663005899997</v>
      </c>
      <c r="AB62" s="83"/>
      <c r="AC62" s="120" t="str">
        <f t="shared" ref="AC62:AC70" si="29">IF(OR(U62&gt;X62,U62&lt;Y62),"FAIL","PASS")</f>
        <v>FAIL</v>
      </c>
      <c r="AD62" s="121" t="str">
        <f t="shared" ref="AD62:AD70" si="30">IF(OR(V62&gt;AA62,V62&lt;Z62),"FAIL","PASS")</f>
        <v>FAIL</v>
      </c>
      <c r="AE62" s="101"/>
      <c r="AF62" s="123" t="s">
        <v>95</v>
      </c>
    </row>
    <row r="63" spans="1:32" x14ac:dyDescent="0.25">
      <c r="A63" s="182">
        <v>5.0049999999999999</v>
      </c>
      <c r="B63" s="167">
        <v>111.87</v>
      </c>
      <c r="C63" s="168">
        <v>2996.4</v>
      </c>
      <c r="D63" s="167">
        <v>41.96</v>
      </c>
      <c r="E63" s="144">
        <f t="shared" si="15"/>
        <v>13.167</v>
      </c>
      <c r="F63" s="166">
        <v>13.163</v>
      </c>
      <c r="G63" s="185" t="str">
        <f t="shared" si="16"/>
        <v>OK</v>
      </c>
      <c r="H63" s="189">
        <f t="shared" si="17"/>
        <v>822</v>
      </c>
      <c r="I63" s="167">
        <v>821.91</v>
      </c>
      <c r="J63" s="185" t="str">
        <f t="shared" si="18"/>
        <v>OK</v>
      </c>
      <c r="K63" s="146">
        <f t="shared" si="12"/>
        <v>34.6</v>
      </c>
      <c r="L63" s="167">
        <v>33.83</v>
      </c>
      <c r="M63" s="197" t="str">
        <f t="shared" si="13"/>
        <v>ALARM</v>
      </c>
      <c r="N63" s="201">
        <f t="shared" si="19"/>
        <v>0.42699999999999999</v>
      </c>
      <c r="O63" s="166">
        <v>0.42599999999999999</v>
      </c>
      <c r="P63" s="185" t="str">
        <f t="shared" si="14"/>
        <v>OK</v>
      </c>
      <c r="Q63" s="51">
        <f>(Q62+Q64)/2</f>
        <v>825</v>
      </c>
      <c r="R63" s="8">
        <f t="shared" si="20"/>
        <v>31.689462103857611</v>
      </c>
      <c r="S63" s="55">
        <f t="shared" si="21"/>
        <v>0.35255181358210447</v>
      </c>
      <c r="T63" s="51">
        <f>(T62+T64)/2</f>
        <v>825</v>
      </c>
      <c r="U63" s="8">
        <f t="shared" si="22"/>
        <v>34.119181002032434</v>
      </c>
      <c r="V63" s="8">
        <f t="shared" si="23"/>
        <v>0.43340526125765438</v>
      </c>
      <c r="W63" s="127">
        <f t="shared" si="24"/>
        <v>47.829624966755716</v>
      </c>
      <c r="X63" s="85">
        <f t="shared" si="25"/>
        <v>33.570838087227592</v>
      </c>
      <c r="Y63" s="113">
        <f t="shared" si="26"/>
        <v>29.807079605037579</v>
      </c>
      <c r="Z63" s="113">
        <f t="shared" si="27"/>
        <v>0.32434766849553615</v>
      </c>
      <c r="AA63" s="113">
        <f t="shared" si="28"/>
        <v>0.38075595866867284</v>
      </c>
      <c r="AB63" s="83"/>
      <c r="AC63" s="99" t="str">
        <f t="shared" si="29"/>
        <v>FAIL</v>
      </c>
      <c r="AD63" s="100" t="str">
        <f t="shared" si="30"/>
        <v>FAIL</v>
      </c>
      <c r="AE63" s="101"/>
    </row>
    <row r="64" spans="1:32" x14ac:dyDescent="0.25">
      <c r="A64" s="182">
        <v>4.8890000000000002</v>
      </c>
      <c r="B64" s="167">
        <v>132.57</v>
      </c>
      <c r="C64" s="168">
        <v>2996.2</v>
      </c>
      <c r="D64" s="167">
        <v>42.81</v>
      </c>
      <c r="E64" s="144">
        <f t="shared" si="15"/>
        <v>13.433</v>
      </c>
      <c r="F64" s="166">
        <v>13.429</v>
      </c>
      <c r="G64" s="185" t="str">
        <f t="shared" si="16"/>
        <v>OK</v>
      </c>
      <c r="H64" s="189">
        <f t="shared" si="17"/>
        <v>974.1</v>
      </c>
      <c r="I64" s="167">
        <v>974.07</v>
      </c>
      <c r="J64" s="185" t="str">
        <f t="shared" si="18"/>
        <v>OK</v>
      </c>
      <c r="K64" s="146">
        <f t="shared" si="12"/>
        <v>33.799999999999997</v>
      </c>
      <c r="L64" s="167">
        <v>33.03</v>
      </c>
      <c r="M64" s="197" t="str">
        <f t="shared" si="13"/>
        <v>ALARM</v>
      </c>
      <c r="N64" s="201">
        <f t="shared" si="19"/>
        <v>0.435</v>
      </c>
      <c r="O64" s="166">
        <v>0.435</v>
      </c>
      <c r="P64" s="185" t="str">
        <f t="shared" si="14"/>
        <v>OK</v>
      </c>
      <c r="Q64" s="51">
        <f>(Q62+Q66)/2</f>
        <v>950</v>
      </c>
      <c r="R64" s="8">
        <f t="shared" si="20"/>
        <v>30.623455699956246</v>
      </c>
      <c r="S64" s="55">
        <f t="shared" si="21"/>
        <v>0.36344069891328118</v>
      </c>
      <c r="T64" s="51">
        <f>(T62+T66)/2</f>
        <v>950</v>
      </c>
      <c r="U64" s="8">
        <f t="shared" si="22"/>
        <v>33.233779162375939</v>
      </c>
      <c r="V64" s="8">
        <f t="shared" si="23"/>
        <v>0.44719898518856271</v>
      </c>
      <c r="W64" s="127">
        <f t="shared" si="24"/>
        <v>51.992551885418472</v>
      </c>
      <c r="X64" s="85">
        <f t="shared" si="25"/>
        <v>32.624426296334313</v>
      </c>
      <c r="Y64" s="113">
        <f t="shared" si="26"/>
        <v>28.608632418103369</v>
      </c>
      <c r="Z64" s="113">
        <f t="shared" si="27"/>
        <v>0.3343654430002187</v>
      </c>
      <c r="AA64" s="113">
        <f t="shared" si="28"/>
        <v>0.39251595482634372</v>
      </c>
      <c r="AB64" s="83"/>
      <c r="AC64" s="99" t="str">
        <f t="shared" si="29"/>
        <v>FAIL</v>
      </c>
      <c r="AD64" s="100" t="str">
        <f t="shared" si="30"/>
        <v>FAIL</v>
      </c>
      <c r="AE64" s="101"/>
    </row>
    <row r="65" spans="1:32" x14ac:dyDescent="0.25">
      <c r="A65" s="182">
        <v>4.6959999999999997</v>
      </c>
      <c r="B65" s="167">
        <v>152.07</v>
      </c>
      <c r="C65" s="168">
        <v>2996.2</v>
      </c>
      <c r="D65" s="167">
        <v>44.99</v>
      </c>
      <c r="E65" s="144">
        <f t="shared" si="15"/>
        <v>14.117000000000001</v>
      </c>
      <c r="F65" s="166">
        <v>14.113</v>
      </c>
      <c r="G65" s="185" t="str">
        <f t="shared" si="16"/>
        <v>OK</v>
      </c>
      <c r="H65" s="189">
        <f t="shared" si="17"/>
        <v>1117.3999999999999</v>
      </c>
      <c r="I65" s="167">
        <v>1117.32</v>
      </c>
      <c r="J65" s="185" t="str">
        <f t="shared" si="18"/>
        <v>OK</v>
      </c>
      <c r="K65" s="146">
        <f t="shared" si="12"/>
        <v>32.47</v>
      </c>
      <c r="L65" s="167">
        <v>31.71</v>
      </c>
      <c r="M65" s="197" t="str">
        <f t="shared" si="13"/>
        <v>ALARM</v>
      </c>
      <c r="N65" s="201">
        <f t="shared" si="19"/>
        <v>0.45700000000000002</v>
      </c>
      <c r="O65" s="166">
        <v>0.45700000000000002</v>
      </c>
      <c r="P65" s="185" t="str">
        <f t="shared" si="14"/>
        <v>OK</v>
      </c>
      <c r="Q65" s="51">
        <f>(Q64+Q66)/2</f>
        <v>1075</v>
      </c>
      <c r="R65" s="8">
        <f t="shared" si="20"/>
        <v>29.130005821933786</v>
      </c>
      <c r="S65" s="55">
        <f t="shared" si="21"/>
        <v>0.37117844488166507</v>
      </c>
      <c r="T65" s="51">
        <f>(T64+T66)/2</f>
        <v>1075</v>
      </c>
      <c r="U65" s="8">
        <f t="shared" si="22"/>
        <v>31.698514184140343</v>
      </c>
      <c r="V65" s="8">
        <f t="shared" si="23"/>
        <v>0.45310429850326006</v>
      </c>
      <c r="W65" s="127">
        <f t="shared" si="24"/>
        <v>55.384443478933363</v>
      </c>
      <c r="X65" s="85">
        <f t="shared" si="25"/>
        <v>31.325811230879737</v>
      </c>
      <c r="Y65" s="113">
        <f t="shared" si="26"/>
        <v>26.903546098432454</v>
      </c>
      <c r="Z65" s="113">
        <f t="shared" si="27"/>
        <v>0.3414841692911319</v>
      </c>
      <c r="AA65" s="113">
        <f t="shared" si="28"/>
        <v>0.4008727204721983</v>
      </c>
      <c r="AB65" s="83"/>
      <c r="AC65" s="99" t="str">
        <f t="shared" si="29"/>
        <v>FAIL</v>
      </c>
      <c r="AD65" s="100" t="str">
        <f t="shared" si="30"/>
        <v>FAIL</v>
      </c>
      <c r="AE65" s="101"/>
    </row>
    <row r="66" spans="1:32" x14ac:dyDescent="0.25">
      <c r="A66" s="182">
        <v>4.141</v>
      </c>
      <c r="B66" s="167">
        <v>173.25</v>
      </c>
      <c r="C66" s="168">
        <v>2994.8</v>
      </c>
      <c r="D66" s="167">
        <v>45.24</v>
      </c>
      <c r="E66" s="144">
        <f t="shared" si="15"/>
        <v>14.188000000000001</v>
      </c>
      <c r="F66" s="166">
        <v>14.183999999999999</v>
      </c>
      <c r="G66" s="185" t="str">
        <f t="shared" si="16"/>
        <v>OK</v>
      </c>
      <c r="H66" s="190">
        <f t="shared" si="17"/>
        <v>1273.5999999999999</v>
      </c>
      <c r="I66" s="167">
        <v>1273.55</v>
      </c>
      <c r="J66" s="185" t="str">
        <f t="shared" si="18"/>
        <v>OK</v>
      </c>
      <c r="K66" s="192">
        <f t="shared" si="12"/>
        <v>28.66</v>
      </c>
      <c r="L66" s="167">
        <v>27.87</v>
      </c>
      <c r="M66" s="197" t="str">
        <f t="shared" si="13"/>
        <v>ALARM</v>
      </c>
      <c r="N66" s="200">
        <f t="shared" si="19"/>
        <v>0.46</v>
      </c>
      <c r="O66" s="166">
        <v>0.46</v>
      </c>
      <c r="P66" s="185" t="str">
        <f t="shared" si="14"/>
        <v>OK</v>
      </c>
      <c r="Q66" s="61">
        <f>$F$3</f>
        <v>1200</v>
      </c>
      <c r="R66" s="41">
        <f t="shared" si="20"/>
        <v>27.062060604799996</v>
      </c>
      <c r="S66" s="54">
        <f t="shared" si="21"/>
        <v>0.37581834079999993</v>
      </c>
      <c r="T66" s="61">
        <f>$F$3</f>
        <v>1200</v>
      </c>
      <c r="U66" s="41">
        <f t="shared" si="22"/>
        <v>29.388394487040003</v>
      </c>
      <c r="V66" s="41">
        <f t="shared" si="23"/>
        <v>0.45323777171200008</v>
      </c>
      <c r="W66" s="94">
        <f t="shared" si="24"/>
        <v>57.301978774655574</v>
      </c>
      <c r="X66" s="84">
        <f t="shared" si="25"/>
        <v>29.542132025608542</v>
      </c>
      <c r="Y66" s="112">
        <f t="shared" si="26"/>
        <v>24.533748216213777</v>
      </c>
      <c r="Z66" s="112">
        <f t="shared" si="27"/>
        <v>0.34575287353599993</v>
      </c>
      <c r="AA66" s="112">
        <f t="shared" si="28"/>
        <v>0.40588380806399993</v>
      </c>
      <c r="AB66" s="90">
        <f>0.9*I3</f>
        <v>57.278896193482765</v>
      </c>
      <c r="AC66" s="120" t="str">
        <f t="shared" si="29"/>
        <v>PASS</v>
      </c>
      <c r="AD66" s="121" t="str">
        <f t="shared" si="30"/>
        <v>FAIL</v>
      </c>
      <c r="AE66" s="122" t="str">
        <f>IF(W66&lt;AB66,"FAIL","PASS")</f>
        <v>PASS</v>
      </c>
      <c r="AF66" s="123" t="s">
        <v>96</v>
      </c>
    </row>
    <row r="67" spans="1:32" x14ac:dyDescent="0.25">
      <c r="A67" s="182">
        <v>3.4359999999999999</v>
      </c>
      <c r="B67" s="167">
        <v>192.11</v>
      </c>
      <c r="C67" s="168">
        <v>2993.5</v>
      </c>
      <c r="D67" s="167">
        <v>43.82</v>
      </c>
      <c r="E67" s="144">
        <f t="shared" si="15"/>
        <v>13.737</v>
      </c>
      <c r="F67" s="166">
        <v>13.733000000000001</v>
      </c>
      <c r="G67" s="185" t="str">
        <f t="shared" si="16"/>
        <v>OK</v>
      </c>
      <c r="H67" s="189">
        <f t="shared" si="17"/>
        <v>1412.8</v>
      </c>
      <c r="I67" s="167">
        <v>1412.76</v>
      </c>
      <c r="J67" s="185" t="str">
        <f t="shared" si="18"/>
        <v>OK</v>
      </c>
      <c r="K67" s="146">
        <f t="shared" si="12"/>
        <v>23.8</v>
      </c>
      <c r="L67" s="167">
        <v>23.02</v>
      </c>
      <c r="M67" s="197" t="str">
        <f t="shared" si="13"/>
        <v>ALARM</v>
      </c>
      <c r="N67" s="201">
        <f t="shared" si="19"/>
        <v>0.44600000000000001</v>
      </c>
      <c r="O67" s="166">
        <v>0.44600000000000001</v>
      </c>
      <c r="P67" s="185" t="str">
        <f t="shared" si="14"/>
        <v>OK</v>
      </c>
      <c r="Q67" s="51">
        <f>(Q66+Q68)/2</f>
        <v>1325</v>
      </c>
      <c r="R67" s="8">
        <f t="shared" si="20"/>
        <v>24.285252983369322</v>
      </c>
      <c r="S67" s="55">
        <f t="shared" si="21"/>
        <v>0.37764609578083502</v>
      </c>
      <c r="T67" s="51">
        <f>(T66+T68)/2</f>
        <v>1325</v>
      </c>
      <c r="U67" s="8">
        <f t="shared" si="22"/>
        <v>26.234995520330287</v>
      </c>
      <c r="V67" s="8">
        <f t="shared" si="23"/>
        <v>0.45011474871370893</v>
      </c>
      <c r="W67" s="127">
        <f t="shared" si="24"/>
        <v>56.873798821070885</v>
      </c>
      <c r="X67" s="85">
        <f t="shared" si="25"/>
        <v>27.145156287766291</v>
      </c>
      <c r="Y67" s="113">
        <f t="shared" si="26"/>
        <v>21.36421205431725</v>
      </c>
      <c r="Z67" s="113">
        <f t="shared" si="27"/>
        <v>0.34743440811836823</v>
      </c>
      <c r="AA67" s="113">
        <f t="shared" si="28"/>
        <v>0.40785778344330187</v>
      </c>
      <c r="AB67" s="83"/>
      <c r="AC67" s="99" t="str">
        <f t="shared" si="29"/>
        <v>PASS</v>
      </c>
      <c r="AD67" s="100" t="str">
        <f t="shared" si="30"/>
        <v>FAIL</v>
      </c>
      <c r="AE67" s="101"/>
    </row>
    <row r="68" spans="1:32" x14ac:dyDescent="0.25">
      <c r="A68" s="182">
        <v>2.6909999999999998</v>
      </c>
      <c r="B68" s="167">
        <v>211.73</v>
      </c>
      <c r="C68" s="168">
        <v>2996.4</v>
      </c>
      <c r="D68" s="167">
        <v>43.55</v>
      </c>
      <c r="E68" s="144">
        <f t="shared" si="15"/>
        <v>13.666</v>
      </c>
      <c r="F68" s="166">
        <v>13.662000000000001</v>
      </c>
      <c r="G68" s="185" t="str">
        <f t="shared" si="16"/>
        <v>OK</v>
      </c>
      <c r="H68" s="189">
        <f t="shared" si="17"/>
        <v>1555.6</v>
      </c>
      <c r="I68" s="167">
        <v>1555.58</v>
      </c>
      <c r="J68" s="185" t="str">
        <f t="shared" si="18"/>
        <v>OK</v>
      </c>
      <c r="K68" s="146">
        <f t="shared" si="12"/>
        <v>18.600000000000001</v>
      </c>
      <c r="L68" s="167">
        <v>17.829999999999998</v>
      </c>
      <c r="M68" s="197" t="str">
        <f t="shared" si="13"/>
        <v>ALARM</v>
      </c>
      <c r="N68" s="201">
        <f t="shared" si="19"/>
        <v>0.443</v>
      </c>
      <c r="O68" s="166">
        <v>0.442</v>
      </c>
      <c r="P68" s="185" t="str">
        <f t="shared" si="14"/>
        <v>OK</v>
      </c>
      <c r="Q68" s="51">
        <f>(Q66+Q70)/2</f>
        <v>1450</v>
      </c>
      <c r="R68" s="8">
        <f t="shared" si="20"/>
        <v>20.694814290893756</v>
      </c>
      <c r="S68" s="55">
        <f t="shared" si="21"/>
        <v>0.37713313768671869</v>
      </c>
      <c r="T68" s="51">
        <f>(T66+T70)/2</f>
        <v>1450</v>
      </c>
      <c r="U68" s="8">
        <f t="shared" si="22"/>
        <v>22.250015537954063</v>
      </c>
      <c r="V68" s="8">
        <f t="shared" si="23"/>
        <v>0.44605047692293742</v>
      </c>
      <c r="W68" s="127">
        <f t="shared" si="24"/>
        <v>53.266347873823293</v>
      </c>
      <c r="X68" s="85">
        <f t="shared" si="25"/>
        <v>24.025021888316367</v>
      </c>
      <c r="Y68" s="113">
        <f t="shared" si="26"/>
        <v>17.303463796679726</v>
      </c>
      <c r="Z68" s="113">
        <f t="shared" si="27"/>
        <v>0.3469624866717812</v>
      </c>
      <c r="AA68" s="113">
        <f t="shared" si="28"/>
        <v>0.40730378870165623</v>
      </c>
      <c r="AB68" s="83"/>
      <c r="AC68" s="99" t="str">
        <f t="shared" si="29"/>
        <v>PASS</v>
      </c>
      <c r="AD68" s="100" t="str">
        <f t="shared" si="30"/>
        <v>FAIL</v>
      </c>
      <c r="AE68" s="101"/>
    </row>
    <row r="69" spans="1:32" x14ac:dyDescent="0.25">
      <c r="A69" s="182">
        <v>1.88</v>
      </c>
      <c r="B69" s="167">
        <v>232.6</v>
      </c>
      <c r="C69" s="168">
        <v>2996.2</v>
      </c>
      <c r="D69" s="167">
        <v>43.19</v>
      </c>
      <c r="E69" s="144">
        <f t="shared" si="15"/>
        <v>13.552</v>
      </c>
      <c r="F69" s="166">
        <v>13.548</v>
      </c>
      <c r="G69" s="185" t="str">
        <f t="shared" si="16"/>
        <v>OK</v>
      </c>
      <c r="H69" s="189">
        <f t="shared" si="17"/>
        <v>1709.1</v>
      </c>
      <c r="I69" s="167">
        <v>1709.01</v>
      </c>
      <c r="J69" s="185" t="str">
        <f t="shared" si="18"/>
        <v>OK</v>
      </c>
      <c r="K69" s="146">
        <f t="shared" si="12"/>
        <v>13</v>
      </c>
      <c r="L69" s="167">
        <v>12.26</v>
      </c>
      <c r="M69" s="197" t="str">
        <f t="shared" si="13"/>
        <v>ALARM</v>
      </c>
      <c r="N69" s="201">
        <f t="shared" si="19"/>
        <v>0.439</v>
      </c>
      <c r="O69" s="166">
        <v>0.439</v>
      </c>
      <c r="P69" s="185" t="str">
        <f t="shared" si="14"/>
        <v>OK</v>
      </c>
      <c r="Q69" s="51">
        <f>(Q68+Q70)/2</f>
        <v>1575</v>
      </c>
      <c r="R69" s="8">
        <f t="shared" si="20"/>
        <v>16.232487857695538</v>
      </c>
      <c r="S69" s="55">
        <f t="shared" si="21"/>
        <v>0.37488991208039563</v>
      </c>
      <c r="T69" s="51">
        <f>(T68+T70)/2</f>
        <v>1575</v>
      </c>
      <c r="U69" s="8">
        <f t="shared" si="22"/>
        <v>17.548831373688209</v>
      </c>
      <c r="V69" s="8">
        <f t="shared" si="23"/>
        <v>0.4425612373968153</v>
      </c>
      <c r="W69" s="127">
        <f t="shared" si="24"/>
        <v>45.993238939077095</v>
      </c>
      <c r="X69" s="85">
        <f t="shared" si="25"/>
        <v>20.103978753156863</v>
      </c>
      <c r="Y69" s="113">
        <f t="shared" si="26"/>
        <v>12.324089716691173</v>
      </c>
      <c r="Z69" s="113">
        <f t="shared" si="27"/>
        <v>0.34489871911396397</v>
      </c>
      <c r="AA69" s="113">
        <f t="shared" si="28"/>
        <v>0.40488110504682728</v>
      </c>
      <c r="AB69" s="83"/>
      <c r="AC69" s="99" t="str">
        <f t="shared" si="29"/>
        <v>PASS</v>
      </c>
      <c r="AD69" s="100" t="str">
        <f t="shared" si="30"/>
        <v>FAIL</v>
      </c>
      <c r="AE69" s="101"/>
    </row>
    <row r="70" spans="1:32" x14ac:dyDescent="0.25">
      <c r="A70" s="182">
        <v>1.0609999999999999</v>
      </c>
      <c r="B70" s="167">
        <v>251.11</v>
      </c>
      <c r="C70" s="168">
        <v>2996.2</v>
      </c>
      <c r="D70" s="167">
        <v>42.74</v>
      </c>
      <c r="E70" s="144">
        <f t="shared" si="15"/>
        <v>13.411</v>
      </c>
      <c r="F70" s="166">
        <v>13.407</v>
      </c>
      <c r="G70" s="185" t="str">
        <f t="shared" si="16"/>
        <v>OK</v>
      </c>
      <c r="H70" s="190">
        <f t="shared" si="17"/>
        <v>1845.1</v>
      </c>
      <c r="I70" s="167">
        <v>1845.03</v>
      </c>
      <c r="J70" s="185" t="str">
        <f t="shared" si="18"/>
        <v>OK</v>
      </c>
      <c r="K70" s="192">
        <f t="shared" si="12"/>
        <v>7.34</v>
      </c>
      <c r="L70" s="167">
        <v>6.6</v>
      </c>
      <c r="M70" s="197" t="str">
        <f t="shared" si="13"/>
        <v>ALARM</v>
      </c>
      <c r="N70" s="200">
        <f t="shared" si="19"/>
        <v>0.435</v>
      </c>
      <c r="O70" s="166">
        <v>0.434</v>
      </c>
      <c r="P70" s="185" t="str">
        <f t="shared" si="14"/>
        <v>OK</v>
      </c>
      <c r="Q70" s="61">
        <f>$J$3</f>
        <v>1700</v>
      </c>
      <c r="R70" s="41">
        <f t="shared" si="20"/>
        <v>10.90344260980001</v>
      </c>
      <c r="S70" s="54">
        <f t="shared" si="21"/>
        <v>0.37161918117500009</v>
      </c>
      <c r="T70" s="61">
        <f>$J$3</f>
        <v>1700</v>
      </c>
      <c r="U70" s="41">
        <f t="shared" si="22"/>
        <v>12.37405421629002</v>
      </c>
      <c r="V70" s="41">
        <f t="shared" si="23"/>
        <v>0.43976547496200036</v>
      </c>
      <c r="W70" s="94">
        <f t="shared" si="24"/>
        <v>35.22722338329006</v>
      </c>
      <c r="X70" s="84">
        <f t="shared" si="25"/>
        <v>15.350130654337521</v>
      </c>
      <c r="Y70" s="112">
        <f t="shared" si="26"/>
        <v>6.4832433655806634</v>
      </c>
      <c r="Z70" s="112">
        <f t="shared" si="27"/>
        <v>0.34188964668100008</v>
      </c>
      <c r="AA70" s="112">
        <f t="shared" si="28"/>
        <v>0.4013487156690001</v>
      </c>
      <c r="AB70" s="83"/>
      <c r="AC70" s="120" t="str">
        <f t="shared" si="29"/>
        <v>PASS</v>
      </c>
      <c r="AD70" s="121" t="str">
        <f t="shared" si="30"/>
        <v>FAIL</v>
      </c>
      <c r="AE70" s="101"/>
      <c r="AF70" s="209" t="s">
        <v>97</v>
      </c>
    </row>
    <row r="71" spans="1:32" x14ac:dyDescent="0.25">
      <c r="A71" s="182">
        <v>2.9000000000000001E-2</v>
      </c>
      <c r="B71" s="167">
        <v>274.19</v>
      </c>
      <c r="C71" s="168">
        <v>2994.8</v>
      </c>
      <c r="D71" s="167">
        <v>41.05</v>
      </c>
      <c r="E71" s="144">
        <f t="shared" si="15"/>
        <v>12.874000000000001</v>
      </c>
      <c r="F71" s="166">
        <v>12.871</v>
      </c>
      <c r="G71" s="185" t="str">
        <f t="shared" si="16"/>
        <v>OK</v>
      </c>
      <c r="H71" s="208">
        <f t="shared" si="17"/>
        <v>2015.6</v>
      </c>
      <c r="I71" s="167">
        <v>2015.55</v>
      </c>
      <c r="J71" s="185" t="str">
        <f t="shared" si="18"/>
        <v>OK</v>
      </c>
      <c r="K71" s="146">
        <f t="shared" si="12"/>
        <v>0.21000000000000002</v>
      </c>
      <c r="L71" s="167">
        <v>0.15</v>
      </c>
      <c r="M71" s="197" t="str">
        <f t="shared" si="13"/>
        <v>ALARM</v>
      </c>
      <c r="N71" s="201">
        <f t="shared" si="19"/>
        <v>0.41799999999999998</v>
      </c>
      <c r="O71" s="166">
        <v>0.41699999999999998</v>
      </c>
      <c r="P71" s="185" t="str">
        <f t="shared" si="14"/>
        <v>OK</v>
      </c>
      <c r="Q71" s="51">
        <f>(Q70+Q72)/2</f>
        <v>1800</v>
      </c>
      <c r="R71" s="8">
        <f t="shared" si="20"/>
        <v>6.0704990191999997</v>
      </c>
      <c r="S71" s="55">
        <f t="shared" si="21"/>
        <v>0.3687653623999998</v>
      </c>
      <c r="T71" s="51">
        <f>(T70+T72)/2</f>
        <v>1800</v>
      </c>
      <c r="U71" s="8">
        <f t="shared" si="22"/>
        <v>8.1519431529600013</v>
      </c>
      <c r="V71" s="8">
        <f t="shared" si="23"/>
        <v>0.43684835900800234</v>
      </c>
      <c r="W71" s="92"/>
      <c r="X71" s="118"/>
      <c r="Y71" s="115"/>
      <c r="Z71" s="115"/>
      <c r="AA71" s="110"/>
      <c r="AB71" s="83"/>
      <c r="AC71" s="104"/>
      <c r="AD71" s="107"/>
      <c r="AE71" s="98"/>
    </row>
    <row r="72" spans="1:32" ht="13.2" thickBot="1" x14ac:dyDescent="0.3">
      <c r="A72" s="183"/>
      <c r="B72" s="170"/>
      <c r="C72" s="171"/>
      <c r="D72" s="170"/>
      <c r="E72" s="58"/>
      <c r="F72" s="169"/>
      <c r="G72" s="59"/>
      <c r="H72" s="178"/>
      <c r="I72" s="170"/>
      <c r="J72" s="59"/>
      <c r="K72" s="193"/>
      <c r="L72" s="170"/>
      <c r="M72" s="180"/>
      <c r="N72" s="203"/>
      <c r="O72" s="169"/>
      <c r="P72" s="59"/>
      <c r="Q72" s="56">
        <f>$N$3</f>
        <v>1900</v>
      </c>
      <c r="R72" s="57">
        <f t="shared" si="20"/>
        <v>0.82352819660003718</v>
      </c>
      <c r="S72" s="62">
        <f t="shared" si="21"/>
        <v>0.36611774412499992</v>
      </c>
      <c r="T72" s="56">
        <f>$N$3</f>
        <v>1900</v>
      </c>
      <c r="U72" s="57">
        <f t="shared" si="22"/>
        <v>4.1558365950299958</v>
      </c>
      <c r="V72" s="57">
        <f t="shared" si="23"/>
        <v>0.4310927009740011</v>
      </c>
      <c r="W72" s="93"/>
      <c r="X72" s="119"/>
      <c r="Y72" s="116"/>
      <c r="Z72" s="116"/>
      <c r="AA72" s="111"/>
      <c r="AB72" s="86"/>
      <c r="AC72" s="105"/>
      <c r="AD72" s="108"/>
      <c r="AE72" s="102"/>
    </row>
  </sheetData>
  <mergeCells count="23">
    <mergeCell ref="A5:C5"/>
    <mergeCell ref="D5:I5"/>
    <mergeCell ref="AA5:AD5"/>
    <mergeCell ref="A1:N1"/>
    <mergeCell ref="O1:T1"/>
    <mergeCell ref="U1:Z1"/>
    <mergeCell ref="AA2:AF2"/>
    <mergeCell ref="A4:N4"/>
    <mergeCell ref="AC58:AE58"/>
    <mergeCell ref="D6:E6"/>
    <mergeCell ref="F6:G6"/>
    <mergeCell ref="X49:Y49"/>
    <mergeCell ref="A51:L51"/>
    <mergeCell ref="A56:B56"/>
    <mergeCell ref="D56:F56"/>
    <mergeCell ref="H56:P56"/>
    <mergeCell ref="Q56:S56"/>
    <mergeCell ref="T56:W56"/>
    <mergeCell ref="A57:G57"/>
    <mergeCell ref="H57:P57"/>
    <mergeCell ref="Q57:S57"/>
    <mergeCell ref="T57:W57"/>
    <mergeCell ref="X57:AB57"/>
  </mergeCells>
  <pageMargins left="0.75" right="0.75" top="1" bottom="1" header="0.5" footer="0.5"/>
  <pageSetup paperSize="3" scale="5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2"/>
  <sheetViews>
    <sheetView topLeftCell="U1" zoomScale="90" zoomScaleNormal="90" workbookViewId="0">
      <selection activeCell="AH6" sqref="AH6"/>
    </sheetView>
  </sheetViews>
  <sheetFormatPr defaultRowHeight="12.6" x14ac:dyDescent="0.25"/>
  <cols>
    <col min="1" max="1" width="12.6640625" customWidth="1"/>
    <col min="2" max="2" width="14.109375" customWidth="1"/>
    <col min="3" max="3" width="15.33203125" customWidth="1"/>
    <col min="4" max="4" width="14.109375" customWidth="1"/>
    <col min="5" max="5" width="13" customWidth="1"/>
    <col min="6" max="6" width="13.33203125" customWidth="1"/>
    <col min="7" max="7" width="13.88671875" customWidth="1"/>
    <col min="8" max="8" width="13.5546875" customWidth="1"/>
    <col min="9" max="9" width="14.109375" customWidth="1"/>
    <col min="10" max="10" width="14.44140625" customWidth="1"/>
    <col min="11" max="11" width="13.88671875" customWidth="1"/>
    <col min="12" max="12" width="14.6640625" customWidth="1"/>
    <col min="13" max="13" width="14" customWidth="1"/>
    <col min="14" max="14" width="16.21875" customWidth="1"/>
    <col min="15" max="15" width="14" customWidth="1"/>
    <col min="16" max="16" width="14.109375" customWidth="1"/>
    <col min="17" max="17" width="14.88671875" style="3" customWidth="1"/>
    <col min="18" max="18" width="13.88671875" style="3" customWidth="1"/>
    <col min="19" max="19" width="14.44140625" style="3" customWidth="1"/>
    <col min="20" max="20" width="13.5546875" style="3" customWidth="1"/>
    <col min="21" max="22" width="13.88671875" customWidth="1"/>
    <col min="23" max="23" width="14.6640625" customWidth="1"/>
    <col min="24" max="24" width="13.5546875" customWidth="1"/>
    <col min="25" max="25" width="14.6640625" customWidth="1"/>
    <col min="26" max="26" width="13.5546875" customWidth="1"/>
    <col min="31" max="31" width="13.77734375" customWidth="1"/>
  </cols>
  <sheetData>
    <row r="1" spans="1:32" ht="41.25" customHeight="1" x14ac:dyDescent="0.25">
      <c r="A1" s="467" t="s">
        <v>138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9"/>
      <c r="O1" s="462" t="s">
        <v>38</v>
      </c>
      <c r="P1" s="463"/>
      <c r="Q1" s="463"/>
      <c r="R1" s="463"/>
      <c r="S1" s="463"/>
      <c r="T1" s="463"/>
      <c r="U1" s="462" t="s">
        <v>39</v>
      </c>
      <c r="V1" s="463"/>
      <c r="W1" s="463"/>
      <c r="X1" s="463"/>
      <c r="Y1" s="463"/>
      <c r="Z1" s="464"/>
    </row>
    <row r="2" spans="1:32" s="4" customFormat="1" ht="54" thickBot="1" x14ac:dyDescent="0.55000000000000004">
      <c r="A2" s="128" t="s">
        <v>22</v>
      </c>
      <c r="B2" s="16" t="s">
        <v>26</v>
      </c>
      <c r="C2" s="17" t="s">
        <v>23</v>
      </c>
      <c r="D2" s="16" t="s">
        <v>24</v>
      </c>
      <c r="E2" s="16" t="s">
        <v>25</v>
      </c>
      <c r="F2" s="18" t="s">
        <v>27</v>
      </c>
      <c r="G2" s="16" t="s">
        <v>28</v>
      </c>
      <c r="H2" s="16" t="s">
        <v>29</v>
      </c>
      <c r="I2" s="19" t="s">
        <v>30</v>
      </c>
      <c r="J2" s="20" t="s">
        <v>31</v>
      </c>
      <c r="K2" s="16" t="s">
        <v>32</v>
      </c>
      <c r="L2" s="16" t="s">
        <v>33</v>
      </c>
      <c r="M2" s="16"/>
      <c r="N2" s="15" t="s">
        <v>34</v>
      </c>
      <c r="O2" s="22" t="s">
        <v>189</v>
      </c>
      <c r="P2" s="22" t="s">
        <v>2</v>
      </c>
      <c r="Q2" s="22" t="s">
        <v>3</v>
      </c>
      <c r="R2" s="22" t="s">
        <v>4</v>
      </c>
      <c r="S2" s="22" t="s">
        <v>5</v>
      </c>
      <c r="T2" s="22" t="s">
        <v>6</v>
      </c>
      <c r="U2" s="22" t="s">
        <v>188</v>
      </c>
      <c r="V2" s="22" t="s">
        <v>8</v>
      </c>
      <c r="W2" s="22" t="s">
        <v>9</v>
      </c>
      <c r="X2" s="22" t="s">
        <v>10</v>
      </c>
      <c r="Y2" s="22" t="s">
        <v>11</v>
      </c>
      <c r="Z2" s="129" t="s">
        <v>12</v>
      </c>
      <c r="AA2" s="432" t="s">
        <v>133</v>
      </c>
      <c r="AB2" s="433"/>
      <c r="AC2" s="433"/>
      <c r="AD2" s="433"/>
      <c r="AE2" s="433"/>
      <c r="AF2" s="433"/>
    </row>
    <row r="3" spans="1:32" s="4" customFormat="1" ht="13.2" thickBot="1" x14ac:dyDescent="0.3">
      <c r="A3" s="133">
        <f>'Pump coeff'!M3</f>
        <v>34.578919999999997</v>
      </c>
      <c r="B3" s="134">
        <f>'Pump coeff'!N3</f>
        <v>0.25501099999999999</v>
      </c>
      <c r="C3" s="135">
        <f>'Pump coeff'!O3</f>
        <v>700</v>
      </c>
      <c r="D3" s="134">
        <f>'Pump coeff'!P3</f>
        <v>32.470848099800001</v>
      </c>
      <c r="E3" s="134">
        <f>'Pump coeff'!Q3</f>
        <v>0.33873762042499994</v>
      </c>
      <c r="F3" s="135">
        <f>'Pump coeff'!R3</f>
        <v>1200</v>
      </c>
      <c r="G3" s="134">
        <f>'Pump coeff'!S3</f>
        <v>27.062060604799996</v>
      </c>
      <c r="H3" s="134">
        <f>'Pump coeff'!T3</f>
        <v>0.37581834079999993</v>
      </c>
      <c r="I3" s="136">
        <f>'Pump coeff'!U3</f>
        <v>63.643217992758629</v>
      </c>
      <c r="J3" s="135">
        <f>'Pump coeff'!V3</f>
        <v>1700</v>
      </c>
      <c r="K3" s="134">
        <f>'Pump coeff'!W3</f>
        <v>10.90344260980001</v>
      </c>
      <c r="L3" s="134">
        <f>'Pump coeff'!X3</f>
        <v>0.37161918117500009</v>
      </c>
      <c r="M3" s="137"/>
      <c r="N3" s="138">
        <f>'Pump coeff'!Z3</f>
        <v>1900</v>
      </c>
      <c r="O3" s="139">
        <f>'Pump coeff'!AA3</f>
        <v>34.578919999999997</v>
      </c>
      <c r="P3" s="139">
        <f>'Pump coeff'!AB3</f>
        <v>2.748061E-3</v>
      </c>
      <c r="Q3" s="139">
        <f>'Pump coeff'!AC3</f>
        <v>-2.0896069999999999E-5</v>
      </c>
      <c r="R3" s="139">
        <f>'Pump coeff'!AD3</f>
        <v>3.1696020000000001E-8</v>
      </c>
      <c r="S3" s="139">
        <f>'Pump coeff'!AE3</f>
        <v>-2.2659780000000001E-11</v>
      </c>
      <c r="T3" s="139">
        <f>'Pump coeff'!AF3</f>
        <v>4.6185400000000003E-15</v>
      </c>
      <c r="U3" s="139">
        <f>'Pump coeff'!AG3</f>
        <v>0.25501099999999999</v>
      </c>
      <c r="V3" s="139">
        <f>'Pump coeff'!AH3</f>
        <v>3.5073200000000002E-5</v>
      </c>
      <c r="W3" s="139">
        <f>'Pump coeff'!AI3</f>
        <v>2.8384999999999999E-7</v>
      </c>
      <c r="X3" s="139">
        <f>'Pump coeff'!AJ3</f>
        <v>-3.0247599999999999E-10</v>
      </c>
      <c r="Y3" s="139">
        <f>'Pump coeff'!AK3</f>
        <v>1.08211E-13</v>
      </c>
      <c r="Z3" s="234">
        <f>'Pump coeff'!AL3</f>
        <v>-1.2752500000000001E-17</v>
      </c>
      <c r="AA3" s="43" t="s">
        <v>182</v>
      </c>
      <c r="AB3" s="36" t="s">
        <v>183</v>
      </c>
      <c r="AC3" s="36" t="s">
        <v>184</v>
      </c>
      <c r="AD3" s="36" t="s">
        <v>185</v>
      </c>
      <c r="AE3" s="36" t="s">
        <v>186</v>
      </c>
      <c r="AF3" s="37" t="s">
        <v>187</v>
      </c>
    </row>
    <row r="4" spans="1:32" s="4" customFormat="1" ht="13.2" thickBot="1" x14ac:dyDescent="0.3">
      <c r="A4" s="470" t="s">
        <v>181</v>
      </c>
      <c r="B4" s="471"/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235"/>
      <c r="AA4" s="236"/>
      <c r="AB4" s="237"/>
      <c r="AC4" s="237"/>
      <c r="AD4" s="237"/>
      <c r="AE4" s="237"/>
      <c r="AF4" s="238"/>
    </row>
    <row r="5" spans="1:32" ht="13.2" thickBot="1" x14ac:dyDescent="0.3">
      <c r="A5" s="437" t="s">
        <v>76</v>
      </c>
      <c r="B5" s="438"/>
      <c r="C5" s="472"/>
      <c r="D5" s="437" t="s">
        <v>84</v>
      </c>
      <c r="E5" s="438"/>
      <c r="F5" s="439"/>
      <c r="G5" s="439"/>
      <c r="H5" s="439"/>
      <c r="I5" s="440"/>
      <c r="J5" s="69"/>
      <c r="K5" s="69"/>
      <c r="L5" s="69"/>
      <c r="M5" s="69"/>
      <c r="N5" s="69"/>
      <c r="AA5" s="434" t="s">
        <v>134</v>
      </c>
      <c r="AB5" s="435"/>
      <c r="AC5" s="435"/>
      <c r="AD5" s="436"/>
    </row>
    <row r="6" spans="1:32" ht="38.25" customHeight="1" thickBot="1" x14ac:dyDescent="0.3">
      <c r="A6" s="63"/>
      <c r="B6" s="64"/>
      <c r="C6" s="65"/>
      <c r="D6" s="465" t="s">
        <v>85</v>
      </c>
      <c r="E6" s="466"/>
      <c r="F6" s="465" t="s">
        <v>86</v>
      </c>
      <c r="G6" s="466"/>
      <c r="H6" s="66"/>
      <c r="I6" s="67"/>
      <c r="J6" s="69"/>
      <c r="K6" s="69"/>
      <c r="L6" s="69"/>
      <c r="M6" s="69"/>
      <c r="N6" s="69"/>
      <c r="AA6" s="151"/>
      <c r="AB6" s="152"/>
      <c r="AC6" s="153"/>
      <c r="AD6" s="154"/>
    </row>
    <row r="7" spans="1:32" x14ac:dyDescent="0.25">
      <c r="A7" s="43" t="s">
        <v>70</v>
      </c>
      <c r="B7" s="36" t="s">
        <v>72</v>
      </c>
      <c r="C7" s="37" t="s">
        <v>74</v>
      </c>
      <c r="D7" s="43" t="s">
        <v>78</v>
      </c>
      <c r="E7" s="36" t="s">
        <v>81</v>
      </c>
      <c r="F7" s="36" t="s">
        <v>80</v>
      </c>
      <c r="G7" s="36" t="s">
        <v>79</v>
      </c>
      <c r="H7" s="36" t="s">
        <v>82</v>
      </c>
      <c r="I7" s="37" t="s">
        <v>83</v>
      </c>
      <c r="J7" s="70"/>
      <c r="K7" s="70"/>
      <c r="L7" s="70"/>
      <c r="M7" s="70"/>
      <c r="N7" s="70"/>
      <c r="AA7" s="43" t="s">
        <v>70</v>
      </c>
      <c r="AB7" s="36" t="s">
        <v>72</v>
      </c>
      <c r="AC7" s="38" t="s">
        <v>74</v>
      </c>
      <c r="AD7" s="155" t="s">
        <v>135</v>
      </c>
    </row>
    <row r="8" spans="1:32" ht="13.2" thickBot="1" x14ac:dyDescent="0.3">
      <c r="A8" s="44" t="s">
        <v>71</v>
      </c>
      <c r="B8" s="45" t="s">
        <v>73</v>
      </c>
      <c r="C8" s="46" t="s">
        <v>75</v>
      </c>
      <c r="D8" s="44" t="s">
        <v>71</v>
      </c>
      <c r="E8" s="45" t="s">
        <v>73</v>
      </c>
      <c r="F8" s="45" t="s">
        <v>71</v>
      </c>
      <c r="G8" s="45" t="s">
        <v>73</v>
      </c>
      <c r="H8" s="45" t="s">
        <v>75</v>
      </c>
      <c r="I8" s="46" t="s">
        <v>75</v>
      </c>
      <c r="J8" s="70" t="s">
        <v>98</v>
      </c>
      <c r="K8" s="70"/>
      <c r="L8" s="70"/>
      <c r="M8" s="70"/>
      <c r="N8" s="70"/>
      <c r="AA8" s="44" t="s">
        <v>71</v>
      </c>
      <c r="AB8" s="45" t="s">
        <v>73</v>
      </c>
      <c r="AC8" s="68" t="s">
        <v>75</v>
      </c>
      <c r="AD8" s="156" t="s">
        <v>92</v>
      </c>
    </row>
    <row r="9" spans="1:32" x14ac:dyDescent="0.25">
      <c r="A9" s="47">
        <v>0</v>
      </c>
      <c r="B9" s="48">
        <f>O3</f>
        <v>34.578919999999997</v>
      </c>
      <c r="C9" s="60">
        <f>U3</f>
        <v>0.25501099999999999</v>
      </c>
      <c r="D9" s="47"/>
      <c r="E9" s="48"/>
      <c r="F9" s="49"/>
      <c r="G9" s="48"/>
      <c r="H9" s="49"/>
      <c r="I9" s="50"/>
      <c r="J9" s="6">
        <f>A11</f>
        <v>700</v>
      </c>
      <c r="K9">
        <v>0</v>
      </c>
      <c r="L9">
        <v>0</v>
      </c>
      <c r="M9">
        <v>0</v>
      </c>
      <c r="AA9" s="157">
        <f>A9</f>
        <v>0</v>
      </c>
      <c r="AB9" s="158">
        <f>O4</f>
        <v>0</v>
      </c>
      <c r="AC9" s="159">
        <f>U4</f>
        <v>0</v>
      </c>
      <c r="AD9" s="160">
        <f>AA4</f>
        <v>0</v>
      </c>
    </row>
    <row r="10" spans="1:32" x14ac:dyDescent="0.25">
      <c r="A10" s="51">
        <f>(A9+A11)/2</f>
        <v>350</v>
      </c>
      <c r="B10" s="8">
        <f t="shared" ref="B10:B21" si="0">$O$3+$P$3*A10+$Q$3*A10^2+$R$3*A10^3+$S$3*A10^4+$T$3*A10^5</f>
        <v>34.024158746931249</v>
      </c>
      <c r="C10" s="55">
        <f t="shared" ref="C10:C21" si="1">$U$3+$V$3*A10+$W$3*A10^2+$X$3*A10^3+$Y$3*A10^4+$Z$3*A10^5</f>
        <v>0.29064644929765621</v>
      </c>
      <c r="D10" s="51"/>
      <c r="E10" s="8"/>
      <c r="F10" s="7"/>
      <c r="G10" s="8"/>
      <c r="H10" s="7"/>
      <c r="I10" s="52"/>
      <c r="J10" s="6">
        <f>A11</f>
        <v>700</v>
      </c>
      <c r="K10">
        <v>40</v>
      </c>
      <c r="L10">
        <v>0.7</v>
      </c>
      <c r="M10">
        <v>70</v>
      </c>
      <c r="AA10" s="51">
        <f t="shared" ref="AA10:AA21" si="2">A10</f>
        <v>350</v>
      </c>
      <c r="AB10" s="8">
        <f>$O$4+$P$4*A10+$Q$4*A10^2+$R$4*A10^3+$S$4*A10^4+$T$4*A10^5</f>
        <v>0</v>
      </c>
      <c r="AC10" s="161">
        <f>$U$4+$V$4*AA10+$W$4*AA10^2+$X$4*AA10^3+$Y$4*AA10^4+$Z$4*AA10^5</f>
        <v>0</v>
      </c>
      <c r="AD10" s="162">
        <f>$AA$4+$AB$4*AA10+$AC$4*AA10^2+$AD$4*AA10^3+$AE$4*AA10^4+$AF$4*AA10^5</f>
        <v>0</v>
      </c>
    </row>
    <row r="11" spans="1:32" s="39" customFormat="1" x14ac:dyDescent="0.25">
      <c r="A11" s="61">
        <f>$C$3</f>
        <v>700</v>
      </c>
      <c r="B11" s="41">
        <f t="shared" si="0"/>
        <v>32.470848099800001</v>
      </c>
      <c r="C11" s="54">
        <f t="shared" si="1"/>
        <v>0.33873762042499994</v>
      </c>
      <c r="D11" s="53">
        <f t="shared" ref="D11:D19" si="3">0.95*A11</f>
        <v>665</v>
      </c>
      <c r="E11" s="41">
        <f t="shared" ref="E11:E19" si="4">($O$3+$P$3*D11+$Q$3*D11^2+$R$3*D11^3+$S$3*D11^4+$T$3*D11^5)*1.05</f>
        <v>34.288794150098845</v>
      </c>
      <c r="F11" s="42">
        <f t="shared" ref="F11:F19" si="5">1.05*A11</f>
        <v>735</v>
      </c>
      <c r="G11" s="41">
        <f t="shared" ref="G11:G19" si="6">($O$3+$P$3*F11+$Q$3*F11^2+$R$3*F11^3+$S$3*F11^4+$T$3*F11^5)*0.95</f>
        <v>30.659498613341036</v>
      </c>
      <c r="H11" s="41">
        <f t="shared" ref="H11:H19" si="7">C11*0.92</f>
        <v>0.31163861079099997</v>
      </c>
      <c r="I11" s="54">
        <f t="shared" ref="I11:I19" si="8">1.08*C11</f>
        <v>0.36583663005899997</v>
      </c>
      <c r="J11" s="130" t="s">
        <v>96</v>
      </c>
      <c r="K11" s="130"/>
      <c r="L11" s="130"/>
      <c r="M11" s="130"/>
      <c r="N11" s="130"/>
      <c r="Q11" s="40"/>
      <c r="R11" s="40"/>
      <c r="S11" s="40"/>
      <c r="T11" s="40"/>
      <c r="AA11" s="51">
        <f t="shared" si="2"/>
        <v>700</v>
      </c>
      <c r="AB11" s="8">
        <f t="shared" ref="AB11:AB21" si="9">$O$4+$P$4*A11+$Q$4*A11^2+$R$4*A11^3+$S$4*A11^4+$T$4*A11^5</f>
        <v>0</v>
      </c>
      <c r="AC11" s="161">
        <f t="shared" ref="AC11:AC21" si="10">$U$4+$V$4*AA11+$W$4*AA11^2+$X$4*AA11^3+$Y$4*AA11^4+$Z$4*AA11^5</f>
        <v>0</v>
      </c>
      <c r="AD11" s="162">
        <f t="shared" ref="AD11:AD21" si="11">$AA$4+$AB$4*AA11+$AC$4*AA11^2+$AD$4*AA11^3+$AE$4*AA11^4+$AF$4*AA11^5</f>
        <v>0</v>
      </c>
    </row>
    <row r="12" spans="1:32" x14ac:dyDescent="0.25">
      <c r="A12" s="51">
        <f>(A11+A13)/2</f>
        <v>825</v>
      </c>
      <c r="B12" s="8">
        <f t="shared" si="0"/>
        <v>31.689462103857611</v>
      </c>
      <c r="C12" s="55">
        <f t="shared" si="1"/>
        <v>0.35255181358210447</v>
      </c>
      <c r="D12" s="51">
        <f t="shared" si="3"/>
        <v>783.75</v>
      </c>
      <c r="E12" s="8">
        <f t="shared" si="4"/>
        <v>33.570838087227592</v>
      </c>
      <c r="F12" s="7">
        <f t="shared" si="5"/>
        <v>866.25</v>
      </c>
      <c r="G12" s="8">
        <f t="shared" si="6"/>
        <v>29.807079605037579</v>
      </c>
      <c r="H12" s="8">
        <f t="shared" si="7"/>
        <v>0.32434766849553615</v>
      </c>
      <c r="I12" s="55">
        <f t="shared" si="8"/>
        <v>0.38075595866867284</v>
      </c>
      <c r="J12" s="131">
        <f>A15</f>
        <v>1200</v>
      </c>
      <c r="K12" s="130">
        <v>0</v>
      </c>
      <c r="L12" s="130">
        <v>0</v>
      </c>
      <c r="M12" s="130">
        <v>0</v>
      </c>
      <c r="N12" s="130"/>
      <c r="AA12" s="51">
        <f t="shared" si="2"/>
        <v>825</v>
      </c>
      <c r="AB12" s="8">
        <f t="shared" si="9"/>
        <v>0</v>
      </c>
      <c r="AC12" s="161">
        <f t="shared" si="10"/>
        <v>0</v>
      </c>
      <c r="AD12" s="162">
        <f t="shared" si="11"/>
        <v>0</v>
      </c>
    </row>
    <row r="13" spans="1:32" x14ac:dyDescent="0.25">
      <c r="A13" s="51">
        <f>(A11+A15)/2</f>
        <v>950</v>
      </c>
      <c r="B13" s="8">
        <f t="shared" si="0"/>
        <v>30.623455699956246</v>
      </c>
      <c r="C13" s="55">
        <f t="shared" si="1"/>
        <v>0.36344069891328118</v>
      </c>
      <c r="D13" s="51">
        <f t="shared" si="3"/>
        <v>902.5</v>
      </c>
      <c r="E13" s="8">
        <f t="shared" si="4"/>
        <v>32.624426296334313</v>
      </c>
      <c r="F13" s="7">
        <f t="shared" si="5"/>
        <v>997.5</v>
      </c>
      <c r="G13" s="8">
        <f t="shared" si="6"/>
        <v>28.608632418103369</v>
      </c>
      <c r="H13" s="8">
        <f t="shared" si="7"/>
        <v>0.3343654430002187</v>
      </c>
      <c r="I13" s="55">
        <f t="shared" si="8"/>
        <v>0.39251595482634372</v>
      </c>
      <c r="J13" s="131">
        <f>A15</f>
        <v>1200</v>
      </c>
      <c r="K13" s="130">
        <v>40</v>
      </c>
      <c r="L13" s="130">
        <v>0.7</v>
      </c>
      <c r="M13" s="130">
        <v>70</v>
      </c>
      <c r="N13" s="130"/>
      <c r="AA13" s="51">
        <f t="shared" si="2"/>
        <v>950</v>
      </c>
      <c r="AB13" s="8">
        <f t="shared" si="9"/>
        <v>0</v>
      </c>
      <c r="AC13" s="161">
        <f t="shared" si="10"/>
        <v>0</v>
      </c>
      <c r="AD13" s="162">
        <f t="shared" si="11"/>
        <v>0</v>
      </c>
    </row>
    <row r="14" spans="1:32" x14ac:dyDescent="0.25">
      <c r="A14" s="51">
        <f>(A13+A15)/2</f>
        <v>1075</v>
      </c>
      <c r="B14" s="8">
        <f t="shared" si="0"/>
        <v>29.130005821933786</v>
      </c>
      <c r="C14" s="55">
        <f t="shared" si="1"/>
        <v>0.37117844488166507</v>
      </c>
      <c r="D14" s="51">
        <f t="shared" si="3"/>
        <v>1021.25</v>
      </c>
      <c r="E14" s="8">
        <f t="shared" si="4"/>
        <v>31.325811230879737</v>
      </c>
      <c r="F14" s="7">
        <f t="shared" si="5"/>
        <v>1128.75</v>
      </c>
      <c r="G14" s="8">
        <f t="shared" si="6"/>
        <v>26.903546098432454</v>
      </c>
      <c r="H14" s="8">
        <f t="shared" si="7"/>
        <v>0.3414841692911319</v>
      </c>
      <c r="I14" s="55">
        <f t="shared" si="8"/>
        <v>0.4008727204721983</v>
      </c>
      <c r="J14" s="130" t="s">
        <v>99</v>
      </c>
      <c r="K14" s="130"/>
      <c r="L14" s="130"/>
      <c r="M14" s="130"/>
      <c r="N14" s="130"/>
      <c r="AA14" s="51">
        <f t="shared" si="2"/>
        <v>1075</v>
      </c>
      <c r="AB14" s="8">
        <f t="shared" si="9"/>
        <v>0</v>
      </c>
      <c r="AC14" s="161">
        <f t="shared" si="10"/>
        <v>0</v>
      </c>
      <c r="AD14" s="162">
        <f t="shared" si="11"/>
        <v>0</v>
      </c>
    </row>
    <row r="15" spans="1:32" s="39" customFormat="1" x14ac:dyDescent="0.25">
      <c r="A15" s="61">
        <f>$F$3</f>
        <v>1200</v>
      </c>
      <c r="B15" s="41">
        <f t="shared" si="0"/>
        <v>27.062060604799996</v>
      </c>
      <c r="C15" s="54">
        <f t="shared" si="1"/>
        <v>0.37581834079999993</v>
      </c>
      <c r="D15" s="53">
        <f t="shared" si="3"/>
        <v>1140</v>
      </c>
      <c r="E15" s="41">
        <f t="shared" si="4"/>
        <v>29.542132025608542</v>
      </c>
      <c r="F15" s="42">
        <f t="shared" si="5"/>
        <v>1260</v>
      </c>
      <c r="G15" s="41">
        <f t="shared" si="6"/>
        <v>24.533748216213777</v>
      </c>
      <c r="H15" s="41">
        <f t="shared" si="7"/>
        <v>0.34575287353599993</v>
      </c>
      <c r="I15" s="54">
        <f t="shared" si="8"/>
        <v>0.40588380806399993</v>
      </c>
      <c r="J15" s="131">
        <f>A19</f>
        <v>1700</v>
      </c>
      <c r="K15" s="130">
        <v>0</v>
      </c>
      <c r="L15" s="130">
        <v>0</v>
      </c>
      <c r="M15" s="130">
        <v>0</v>
      </c>
      <c r="N15" s="130"/>
      <c r="Q15" s="40"/>
      <c r="R15" s="40"/>
      <c r="S15" s="40"/>
      <c r="T15" s="40"/>
      <c r="AA15" s="51">
        <f t="shared" si="2"/>
        <v>1200</v>
      </c>
      <c r="AB15" s="8">
        <f t="shared" si="9"/>
        <v>0</v>
      </c>
      <c r="AC15" s="161">
        <f t="shared" si="10"/>
        <v>0</v>
      </c>
      <c r="AD15" s="162">
        <f t="shared" si="11"/>
        <v>0</v>
      </c>
    </row>
    <row r="16" spans="1:32" x14ac:dyDescent="0.25">
      <c r="A16" s="51">
        <f>(A15+A17)/2</f>
        <v>1325</v>
      </c>
      <c r="B16" s="8">
        <f t="shared" si="0"/>
        <v>24.285252983369322</v>
      </c>
      <c r="C16" s="55">
        <f t="shared" si="1"/>
        <v>0.37764609578083502</v>
      </c>
      <c r="D16" s="51">
        <f t="shared" si="3"/>
        <v>1258.75</v>
      </c>
      <c r="E16" s="8">
        <f t="shared" si="4"/>
        <v>27.145156287766291</v>
      </c>
      <c r="F16" s="7">
        <f t="shared" si="5"/>
        <v>1391.25</v>
      </c>
      <c r="G16" s="8">
        <f t="shared" si="6"/>
        <v>21.36421205431725</v>
      </c>
      <c r="H16" s="8">
        <f t="shared" si="7"/>
        <v>0.34743440811836823</v>
      </c>
      <c r="I16" s="55">
        <f t="shared" si="8"/>
        <v>0.40785778344330187</v>
      </c>
      <c r="J16" s="131">
        <f>A19</f>
        <v>1700</v>
      </c>
      <c r="K16" s="130">
        <v>40</v>
      </c>
      <c r="L16" s="130">
        <v>0.7</v>
      </c>
      <c r="M16" s="130">
        <v>70</v>
      </c>
      <c r="N16" s="130"/>
      <c r="AA16" s="51">
        <f t="shared" si="2"/>
        <v>1325</v>
      </c>
      <c r="AB16" s="8">
        <f t="shared" si="9"/>
        <v>0</v>
      </c>
      <c r="AC16" s="161">
        <f t="shared" si="10"/>
        <v>0</v>
      </c>
      <c r="AD16" s="162">
        <f t="shared" si="11"/>
        <v>0</v>
      </c>
    </row>
    <row r="17" spans="1:30" x14ac:dyDescent="0.25">
      <c r="A17" s="51">
        <f>(A15+A19)/2</f>
        <v>1450</v>
      </c>
      <c r="B17" s="8">
        <f t="shared" si="0"/>
        <v>20.694814290893756</v>
      </c>
      <c r="C17" s="55">
        <f t="shared" si="1"/>
        <v>0.37713313768671869</v>
      </c>
      <c r="D17" s="51">
        <f t="shared" si="3"/>
        <v>1377.5</v>
      </c>
      <c r="E17" s="8">
        <f t="shared" si="4"/>
        <v>24.025021888316367</v>
      </c>
      <c r="F17" s="7">
        <f t="shared" si="5"/>
        <v>1522.5</v>
      </c>
      <c r="G17" s="8">
        <f t="shared" si="6"/>
        <v>17.303463796679726</v>
      </c>
      <c r="H17" s="8">
        <f t="shared" si="7"/>
        <v>0.3469624866717812</v>
      </c>
      <c r="I17" s="55">
        <f t="shared" si="8"/>
        <v>0.40730378870165623</v>
      </c>
      <c r="J17" s="130"/>
      <c r="K17" s="130"/>
      <c r="L17" s="130"/>
      <c r="M17" s="130"/>
      <c r="N17" s="130"/>
      <c r="AA17" s="51">
        <f t="shared" si="2"/>
        <v>1450</v>
      </c>
      <c r="AB17" s="8">
        <f t="shared" si="9"/>
        <v>0</v>
      </c>
      <c r="AC17" s="161">
        <f t="shared" si="10"/>
        <v>0</v>
      </c>
      <c r="AD17" s="162">
        <f t="shared" si="11"/>
        <v>0</v>
      </c>
    </row>
    <row r="18" spans="1:30" x14ac:dyDescent="0.25">
      <c r="A18" s="51">
        <f>(A17+A19)/2</f>
        <v>1575</v>
      </c>
      <c r="B18" s="8">
        <f t="shared" si="0"/>
        <v>16.232487857695538</v>
      </c>
      <c r="C18" s="55">
        <f t="shared" si="1"/>
        <v>0.37488991208039563</v>
      </c>
      <c r="D18" s="51">
        <f t="shared" si="3"/>
        <v>1496.25</v>
      </c>
      <c r="E18" s="8">
        <f t="shared" si="4"/>
        <v>20.103978753156863</v>
      </c>
      <c r="F18" s="7">
        <f t="shared" si="5"/>
        <v>1653.75</v>
      </c>
      <c r="G18" s="8">
        <f t="shared" si="6"/>
        <v>12.324089716691173</v>
      </c>
      <c r="H18" s="8">
        <f t="shared" si="7"/>
        <v>0.34489871911396397</v>
      </c>
      <c r="I18" s="55">
        <f t="shared" si="8"/>
        <v>0.40488110504682728</v>
      </c>
      <c r="J18" s="130"/>
      <c r="K18" s="130"/>
      <c r="L18" s="130"/>
      <c r="M18" s="130"/>
      <c r="N18" s="130"/>
      <c r="AA18" s="51">
        <f t="shared" si="2"/>
        <v>1575</v>
      </c>
      <c r="AB18" s="8">
        <f t="shared" si="9"/>
        <v>0</v>
      </c>
      <c r="AC18" s="161">
        <f t="shared" si="10"/>
        <v>0</v>
      </c>
      <c r="AD18" s="162">
        <f t="shared" si="11"/>
        <v>0</v>
      </c>
    </row>
    <row r="19" spans="1:30" s="39" customFormat="1" x14ac:dyDescent="0.25">
      <c r="A19" s="61">
        <f>$J$3</f>
        <v>1700</v>
      </c>
      <c r="B19" s="41">
        <f t="shared" si="0"/>
        <v>10.90344260980001</v>
      </c>
      <c r="C19" s="54">
        <f t="shared" si="1"/>
        <v>0.37161918117500009</v>
      </c>
      <c r="D19" s="53">
        <f t="shared" si="3"/>
        <v>1615</v>
      </c>
      <c r="E19" s="41">
        <f t="shared" si="4"/>
        <v>15.350130654337521</v>
      </c>
      <c r="F19" s="42">
        <f t="shared" si="5"/>
        <v>1785</v>
      </c>
      <c r="G19" s="41">
        <f t="shared" si="6"/>
        <v>6.4832433655806634</v>
      </c>
      <c r="H19" s="41">
        <f t="shared" si="7"/>
        <v>0.34188964668100008</v>
      </c>
      <c r="I19" s="54">
        <f t="shared" si="8"/>
        <v>0.4013487156690001</v>
      </c>
      <c r="J19" s="130"/>
      <c r="K19" s="130"/>
      <c r="L19" s="130"/>
      <c r="M19" s="130"/>
      <c r="N19" s="130"/>
      <c r="Q19" s="40"/>
      <c r="R19" s="40"/>
      <c r="S19" s="40"/>
      <c r="T19" s="40"/>
      <c r="AA19" s="51">
        <f t="shared" si="2"/>
        <v>1700</v>
      </c>
      <c r="AB19" s="8">
        <f t="shared" si="9"/>
        <v>0</v>
      </c>
      <c r="AC19" s="161">
        <f t="shared" si="10"/>
        <v>0</v>
      </c>
      <c r="AD19" s="162">
        <f t="shared" si="11"/>
        <v>0</v>
      </c>
    </row>
    <row r="20" spans="1:30" x14ac:dyDescent="0.25">
      <c r="A20" s="51">
        <f>(A19+A21)/2</f>
        <v>1800</v>
      </c>
      <c r="B20" s="8">
        <f t="shared" si="0"/>
        <v>6.0704990191999997</v>
      </c>
      <c r="C20" s="55">
        <f t="shared" si="1"/>
        <v>0.3687653623999998</v>
      </c>
      <c r="D20" s="51"/>
      <c r="E20" s="8"/>
      <c r="F20" s="7"/>
      <c r="G20" s="8"/>
      <c r="H20" s="7"/>
      <c r="I20" s="52"/>
      <c r="AA20" s="51">
        <f t="shared" si="2"/>
        <v>1800</v>
      </c>
      <c r="AB20" s="8">
        <f t="shared" si="9"/>
        <v>0</v>
      </c>
      <c r="AC20" s="161">
        <f t="shared" si="10"/>
        <v>0</v>
      </c>
      <c r="AD20" s="162">
        <f t="shared" si="11"/>
        <v>0</v>
      </c>
    </row>
    <row r="21" spans="1:30" ht="13.2" thickBot="1" x14ac:dyDescent="0.3">
      <c r="A21" s="56">
        <f>$N$3</f>
        <v>1900</v>
      </c>
      <c r="B21" s="57">
        <f t="shared" si="0"/>
        <v>0.82352819660003718</v>
      </c>
      <c r="C21" s="62">
        <f t="shared" si="1"/>
        <v>0.36611774412499992</v>
      </c>
      <c r="D21" s="56"/>
      <c r="E21" s="57"/>
      <c r="F21" s="58"/>
      <c r="G21" s="57"/>
      <c r="H21" s="58"/>
      <c r="I21" s="59"/>
      <c r="AA21" s="56">
        <f t="shared" si="2"/>
        <v>1900</v>
      </c>
      <c r="AB21" s="57">
        <f t="shared" si="9"/>
        <v>0</v>
      </c>
      <c r="AC21" s="163">
        <f t="shared" si="10"/>
        <v>0</v>
      </c>
      <c r="AD21" s="164">
        <f t="shared" si="11"/>
        <v>0</v>
      </c>
    </row>
    <row r="49" spans="1:32" ht="13.2" x14ac:dyDescent="0.25">
      <c r="X49" s="441"/>
      <c r="Y49" s="441"/>
    </row>
    <row r="50" spans="1:32" ht="13.2" thickBot="1" x14ac:dyDescent="0.3">
      <c r="X50" s="124"/>
      <c r="Y50" s="125"/>
    </row>
    <row r="51" spans="1:32" ht="13.2" thickBot="1" x14ac:dyDescent="0.3">
      <c r="A51" s="448" t="s">
        <v>164</v>
      </c>
      <c r="B51" s="449"/>
      <c r="C51" s="449"/>
      <c r="D51" s="449"/>
      <c r="E51" s="449"/>
      <c r="F51" s="449"/>
      <c r="G51" s="449"/>
      <c r="H51" s="449"/>
      <c r="I51" s="449"/>
      <c r="J51" s="449"/>
      <c r="K51" s="449"/>
      <c r="L51" s="450"/>
      <c r="M51" s="69"/>
      <c r="X51" s="124"/>
      <c r="Y51" s="125"/>
    </row>
    <row r="52" spans="1:32" x14ac:dyDescent="0.25">
      <c r="A52" s="72" t="s">
        <v>2</v>
      </c>
      <c r="B52" s="71" t="s">
        <v>3</v>
      </c>
      <c r="C52" s="71" t="s">
        <v>4</v>
      </c>
      <c r="D52" s="71" t="s">
        <v>5</v>
      </c>
      <c r="E52" s="71" t="s">
        <v>6</v>
      </c>
      <c r="F52" s="73" t="s">
        <v>7</v>
      </c>
      <c r="G52" s="74" t="s">
        <v>8</v>
      </c>
      <c r="H52" s="75" t="s">
        <v>9</v>
      </c>
      <c r="I52" s="75" t="s">
        <v>10</v>
      </c>
      <c r="J52" s="75" t="s">
        <v>11</v>
      </c>
      <c r="K52" s="75" t="s">
        <v>12</v>
      </c>
      <c r="L52" s="76" t="s">
        <v>13</v>
      </c>
      <c r="M52" s="87"/>
      <c r="X52" s="124"/>
      <c r="Y52" s="125"/>
    </row>
    <row r="53" spans="1:32" ht="13.2" thickBot="1" x14ac:dyDescent="0.3">
      <c r="A53" s="77">
        <v>34.197009999999999</v>
      </c>
      <c r="B53" s="78">
        <v>1.404223E-3</v>
      </c>
      <c r="C53" s="78">
        <v>2.781686E-6</v>
      </c>
      <c r="D53" s="78">
        <v>-4.4524789999999996E-9</v>
      </c>
      <c r="E53" s="78">
        <v>-3.5731600000000001E-12</v>
      </c>
      <c r="F53" s="79">
        <v>1.503918E-15</v>
      </c>
      <c r="G53" s="205">
        <v>0.24524750000000001</v>
      </c>
      <c r="H53" s="206">
        <v>-3.2958169999999997E-5</v>
      </c>
      <c r="I53" s="206">
        <v>6.5557700000000002E-7</v>
      </c>
      <c r="J53" s="206">
        <v>-6.7591330000000001E-10</v>
      </c>
      <c r="K53" s="206">
        <v>2.5200629999999999E-13</v>
      </c>
      <c r="L53" s="207">
        <v>-2.935547E-17</v>
      </c>
      <c r="M53" s="83"/>
      <c r="X53" s="124"/>
      <c r="Y53" s="125"/>
    </row>
    <row r="54" spans="1:32" x14ac:dyDescent="0.25">
      <c r="X54" s="126"/>
      <c r="Y54" s="125"/>
    </row>
    <row r="55" spans="1:32" ht="13.2" thickBot="1" x14ac:dyDescent="0.3"/>
    <row r="56" spans="1:32" ht="13.2" thickBot="1" x14ac:dyDescent="0.3">
      <c r="A56" s="458" t="s">
        <v>150</v>
      </c>
      <c r="B56" s="459"/>
      <c r="C56" s="172">
        <v>1</v>
      </c>
      <c r="D56" s="456" t="s">
        <v>149</v>
      </c>
      <c r="E56" s="457"/>
      <c r="F56" s="457"/>
      <c r="G56" s="172">
        <v>65</v>
      </c>
      <c r="H56" s="445" t="s">
        <v>88</v>
      </c>
      <c r="I56" s="446"/>
      <c r="J56" s="446"/>
      <c r="K56" s="460"/>
      <c r="L56" s="460"/>
      <c r="M56" s="460"/>
      <c r="N56" s="460"/>
      <c r="O56" s="460"/>
      <c r="P56" s="461"/>
      <c r="Q56" s="451" t="s">
        <v>76</v>
      </c>
      <c r="R56" s="452"/>
      <c r="S56" s="453"/>
      <c r="T56" s="445" t="s">
        <v>90</v>
      </c>
      <c r="U56" s="446"/>
      <c r="V56" s="446"/>
      <c r="W56" s="454"/>
      <c r="AA56" s="3"/>
      <c r="AB56" s="3"/>
      <c r="AC56" s="3"/>
      <c r="AD56" s="3"/>
    </row>
    <row r="57" spans="1:32" ht="13.2" thickBot="1" x14ac:dyDescent="0.3">
      <c r="A57" s="448" t="s">
        <v>148</v>
      </c>
      <c r="B57" s="449"/>
      <c r="C57" s="449"/>
      <c r="D57" s="449"/>
      <c r="E57" s="449"/>
      <c r="F57" s="449"/>
      <c r="G57" s="450"/>
      <c r="H57" s="445" t="s">
        <v>87</v>
      </c>
      <c r="I57" s="455"/>
      <c r="J57" s="455"/>
      <c r="K57" s="460"/>
      <c r="L57" s="460"/>
      <c r="M57" s="460"/>
      <c r="N57" s="460"/>
      <c r="O57" s="460"/>
      <c r="P57" s="461"/>
      <c r="Q57" s="445" t="s">
        <v>87</v>
      </c>
      <c r="R57" s="455"/>
      <c r="S57" s="454"/>
      <c r="T57" s="445" t="s">
        <v>87</v>
      </c>
      <c r="U57" s="455"/>
      <c r="V57" s="455"/>
      <c r="W57" s="454"/>
      <c r="X57" s="445" t="s">
        <v>77</v>
      </c>
      <c r="Y57" s="446"/>
      <c r="Z57" s="446"/>
      <c r="AA57" s="446"/>
      <c r="AB57" s="447"/>
      <c r="AC57" s="3"/>
      <c r="AD57" s="3"/>
    </row>
    <row r="58" spans="1:32" x14ac:dyDescent="0.25">
      <c r="A58" s="47" t="s">
        <v>139</v>
      </c>
      <c r="B58" s="36" t="s">
        <v>70</v>
      </c>
      <c r="C58" s="36" t="s">
        <v>142</v>
      </c>
      <c r="D58" s="36" t="s">
        <v>144</v>
      </c>
      <c r="E58" s="165" t="s">
        <v>151</v>
      </c>
      <c r="F58" s="165" t="s">
        <v>146</v>
      </c>
      <c r="G58" s="155" t="s">
        <v>147</v>
      </c>
      <c r="H58" s="43" t="s">
        <v>153</v>
      </c>
      <c r="I58" s="165" t="s">
        <v>154</v>
      </c>
      <c r="J58" s="155" t="s">
        <v>155</v>
      </c>
      <c r="K58" s="43" t="s">
        <v>156</v>
      </c>
      <c r="L58" s="165" t="s">
        <v>157</v>
      </c>
      <c r="M58" s="179" t="s">
        <v>158</v>
      </c>
      <c r="N58" s="43" t="s">
        <v>160</v>
      </c>
      <c r="O58" s="165" t="s">
        <v>161</v>
      </c>
      <c r="P58" s="155" t="s">
        <v>162</v>
      </c>
      <c r="Q58" s="43" t="s">
        <v>70</v>
      </c>
      <c r="R58" s="36" t="s">
        <v>72</v>
      </c>
      <c r="S58" s="37" t="s">
        <v>74</v>
      </c>
      <c r="T58" s="43" t="s">
        <v>70</v>
      </c>
      <c r="U58" s="36" t="s">
        <v>72</v>
      </c>
      <c r="V58" s="36" t="s">
        <v>74</v>
      </c>
      <c r="W58" s="37" t="s">
        <v>93</v>
      </c>
      <c r="X58" s="88" t="s">
        <v>81</v>
      </c>
      <c r="Y58" s="80" t="s">
        <v>79</v>
      </c>
      <c r="Z58" s="80" t="s">
        <v>82</v>
      </c>
      <c r="AA58" s="81" t="s">
        <v>83</v>
      </c>
      <c r="AB58" s="96" t="s">
        <v>91</v>
      </c>
      <c r="AC58" s="442" t="s">
        <v>94</v>
      </c>
      <c r="AD58" s="443"/>
      <c r="AE58" s="444"/>
    </row>
    <row r="59" spans="1:32" ht="13.2" thickBot="1" x14ac:dyDescent="0.3">
      <c r="A59" s="44" t="s">
        <v>141</v>
      </c>
      <c r="B59" s="45" t="s">
        <v>140</v>
      </c>
      <c r="C59" s="45" t="s">
        <v>143</v>
      </c>
      <c r="D59" s="45" t="s">
        <v>145</v>
      </c>
      <c r="E59" s="176" t="s">
        <v>89</v>
      </c>
      <c r="F59" s="176" t="s">
        <v>89</v>
      </c>
      <c r="G59" s="59" t="s">
        <v>152</v>
      </c>
      <c r="H59" s="44" t="s">
        <v>71</v>
      </c>
      <c r="I59" s="176" t="s">
        <v>71</v>
      </c>
      <c r="J59" s="59" t="s">
        <v>163</v>
      </c>
      <c r="K59" s="44" t="s">
        <v>73</v>
      </c>
      <c r="L59" s="176" t="s">
        <v>73</v>
      </c>
      <c r="M59" s="180" t="s">
        <v>163</v>
      </c>
      <c r="N59" s="44" t="s">
        <v>159</v>
      </c>
      <c r="O59" s="176" t="s">
        <v>159</v>
      </c>
      <c r="P59" s="59" t="s">
        <v>163</v>
      </c>
      <c r="Q59" s="44" t="s">
        <v>71</v>
      </c>
      <c r="R59" s="45" t="s">
        <v>73</v>
      </c>
      <c r="S59" s="46" t="s">
        <v>75</v>
      </c>
      <c r="T59" s="44" t="s">
        <v>71</v>
      </c>
      <c r="U59" s="45" t="s">
        <v>73</v>
      </c>
      <c r="V59" s="45" t="s">
        <v>75</v>
      </c>
      <c r="W59" s="46" t="s">
        <v>92</v>
      </c>
      <c r="X59" s="89" t="s">
        <v>73</v>
      </c>
      <c r="Y59" s="45" t="s">
        <v>73</v>
      </c>
      <c r="Z59" s="45" t="s">
        <v>75</v>
      </c>
      <c r="AA59" s="68" t="s">
        <v>75</v>
      </c>
      <c r="AB59" s="95" t="s">
        <v>92</v>
      </c>
      <c r="AC59" s="44" t="s">
        <v>72</v>
      </c>
      <c r="AD59" s="45" t="s">
        <v>74</v>
      </c>
      <c r="AE59" s="46" t="s">
        <v>93</v>
      </c>
    </row>
    <row r="60" spans="1:32" x14ac:dyDescent="0.25">
      <c r="A60" s="181">
        <v>5.0010000000000003</v>
      </c>
      <c r="B60" s="174">
        <v>3.71</v>
      </c>
      <c r="C60" s="175">
        <v>2998.4</v>
      </c>
      <c r="D60" s="174">
        <v>23.66</v>
      </c>
      <c r="E60" s="187">
        <f>ROUND(C60*D60/9549,3)</f>
        <v>7.4290000000000003</v>
      </c>
      <c r="F60" s="173">
        <v>7.4260000000000002</v>
      </c>
      <c r="G60" s="184" t="str">
        <f>IF(OR(E60-F60&gt;0.001*F60,E60-F60&lt;(-0.001)*F60),"ALARM","OK")</f>
        <v>OK</v>
      </c>
      <c r="H60" s="188">
        <f>ROUNDUP((B60*6.28981)*(3500/C60),1)</f>
        <v>27.3</v>
      </c>
      <c r="I60" s="191">
        <v>27.22</v>
      </c>
      <c r="J60" s="204" t="str">
        <f>IF(OR(H60-I60&gt;0.005*I60,H60-I60&lt;(-0.005)*I60),"ALARM","OK")</f>
        <v>OK</v>
      </c>
      <c r="K60" s="195">
        <f t="shared" ref="K60:K71" si="12">ROUNDUP((A60*(1000/9.81)*$C$56*3.28/$G$56)*(3500/C60)^2,2)</f>
        <v>35.059999999999995</v>
      </c>
      <c r="L60" s="174">
        <v>34.22</v>
      </c>
      <c r="M60" s="196" t="str">
        <f t="shared" ref="M60:M71" si="13">IF(OR(K60-L60&gt;0.005*L60,K60-L60&lt;(-0.005)*L60),"ALARM","OK")</f>
        <v>ALARM</v>
      </c>
      <c r="N60" s="198">
        <f>ROUNDUP((F60/(0.746*$G$56))*(3500/C60)^3,3)</f>
        <v>0.24399999999999999</v>
      </c>
      <c r="O60" s="173">
        <v>0.24399999999999999</v>
      </c>
      <c r="P60" s="184" t="str">
        <f t="shared" ref="P60:P71" si="14">IF(OR(N60-O60&gt;0.005*O60,N60-O60&lt;(-0.005)*O60),"ALARM","OK")</f>
        <v>OK</v>
      </c>
      <c r="Q60" s="47">
        <v>0</v>
      </c>
      <c r="R60" s="48">
        <f>B9</f>
        <v>34.578919999999997</v>
      </c>
      <c r="S60" s="60">
        <f>C9</f>
        <v>0.25501099999999999</v>
      </c>
      <c r="T60" s="47">
        <v>0</v>
      </c>
      <c r="U60" s="48">
        <f>A53</f>
        <v>34.197009999999999</v>
      </c>
      <c r="V60" s="48">
        <f>G53</f>
        <v>0.24524750000000001</v>
      </c>
      <c r="W60" s="91"/>
      <c r="X60" s="117"/>
      <c r="Y60" s="114"/>
      <c r="Z60" s="114"/>
      <c r="AA60" s="109"/>
      <c r="AB60" s="82"/>
      <c r="AC60" s="103"/>
      <c r="AD60" s="106"/>
      <c r="AE60" s="97"/>
    </row>
    <row r="61" spans="1:32" x14ac:dyDescent="0.25">
      <c r="A61" s="182">
        <v>5.0979999999999999</v>
      </c>
      <c r="B61" s="167">
        <v>50.94</v>
      </c>
      <c r="C61" s="168">
        <v>2996.8</v>
      </c>
      <c r="D61" s="167">
        <v>29.01</v>
      </c>
      <c r="E61" s="144">
        <f t="shared" ref="E61:E71" si="15">ROUND(C61*D61/9549,3)</f>
        <v>9.1039999999999992</v>
      </c>
      <c r="F61" s="166">
        <v>9.1010000000000009</v>
      </c>
      <c r="G61" s="185" t="str">
        <f t="shared" ref="G61:G71" si="16">IF(OR(E61-F61&gt;0.001*F61,E61-F61&lt;(-0.001)*F61),"ALARM","OK")</f>
        <v>OK</v>
      </c>
      <c r="H61" s="189">
        <f t="shared" ref="H61:H71" si="17">ROUNDUP((B61*6.28981)*(3500/C61),1)</f>
        <v>374.3</v>
      </c>
      <c r="I61" s="167">
        <v>374.21</v>
      </c>
      <c r="J61" s="185" t="str">
        <f t="shared" ref="J61:J71" si="18">IF(OR(H61-I61&gt;0.005*I61,H61-I61&lt;(-0.005)*I61),"ALARM","OK")</f>
        <v>OK</v>
      </c>
      <c r="K61" s="146">
        <f t="shared" si="12"/>
        <v>35.769999999999996</v>
      </c>
      <c r="L61" s="167">
        <v>34.94</v>
      </c>
      <c r="M61" s="197" t="str">
        <f t="shared" si="13"/>
        <v>ALARM</v>
      </c>
      <c r="N61" s="199">
        <f t="shared" ref="N61:N71" si="19">ROUNDUP((F61/(0.746*$G$56))*(3500/C61)^3,3)</f>
        <v>0.29899999999999999</v>
      </c>
      <c r="O61" s="166">
        <v>0.29899999999999999</v>
      </c>
      <c r="P61" s="185" t="str">
        <f t="shared" si="14"/>
        <v>OK</v>
      </c>
      <c r="Q61" s="51">
        <f>(Q60+Q62)/2</f>
        <v>350</v>
      </c>
      <c r="R61" s="8">
        <f t="shared" ref="R61:R72" si="20">$O$3+$P$3*Q61+$Q$3*Q61^2+$R$3*Q61^3+$S$3*Q61^4+$T$3*Q61^5</f>
        <v>34.024158746931249</v>
      </c>
      <c r="S61" s="55">
        <f t="shared" ref="S61:S72" si="21">$U$3+$V$3*Q61+$W$3*Q61^2+$X$3*Q61^3+$Y$3*Q61^4+$Z$3*Q61^5</f>
        <v>0.29064644929765621</v>
      </c>
      <c r="T61" s="51">
        <f>(T60+T62)/2</f>
        <v>350</v>
      </c>
      <c r="U61" s="8">
        <f t="shared" ref="U61:U72" si="22">$A$53+$B$53*T61+$C$53*T61^2+$D$53*T61^3+$E$53*T61^4+$F$53*T61^5</f>
        <v>34.792623674945624</v>
      </c>
      <c r="V61" s="8">
        <f t="shared" ref="V61:V72" si="23">$G$53+$H$53*T61+$I$53*T61^2+$J$53*T61^3+$K$53*T61^4+$L$53*T61^5</f>
        <v>0.28866802936928432</v>
      </c>
      <c r="W61" s="92"/>
      <c r="X61" s="118"/>
      <c r="Y61" s="115"/>
      <c r="Z61" s="115"/>
      <c r="AA61" s="110"/>
      <c r="AB61" s="83"/>
      <c r="AC61" s="104"/>
      <c r="AD61" s="107"/>
      <c r="AE61" s="98"/>
    </row>
    <row r="62" spans="1:32" x14ac:dyDescent="0.25">
      <c r="A62" s="182">
        <v>4.9889999999999999</v>
      </c>
      <c r="B62" s="167">
        <v>93.46</v>
      </c>
      <c r="C62" s="168">
        <v>2998</v>
      </c>
      <c r="D62" s="167">
        <v>34.450000000000003</v>
      </c>
      <c r="E62" s="144">
        <f t="shared" si="15"/>
        <v>10.816000000000001</v>
      </c>
      <c r="F62" s="166">
        <v>10.811999999999999</v>
      </c>
      <c r="G62" s="185" t="str">
        <f t="shared" si="16"/>
        <v>OK</v>
      </c>
      <c r="H62" s="190">
        <f t="shared" si="17"/>
        <v>686.30000000000007</v>
      </c>
      <c r="I62" s="167">
        <v>686.26</v>
      </c>
      <c r="J62" s="185" t="str">
        <f t="shared" si="18"/>
        <v>OK</v>
      </c>
      <c r="K62" s="192">
        <f t="shared" si="12"/>
        <v>34.979999999999997</v>
      </c>
      <c r="L62" s="167">
        <v>34.159999999999997</v>
      </c>
      <c r="M62" s="197" t="str">
        <f t="shared" si="13"/>
        <v>ALARM</v>
      </c>
      <c r="N62" s="200">
        <f t="shared" si="19"/>
        <v>0.35499999999999998</v>
      </c>
      <c r="O62" s="166">
        <v>0.35499999999999998</v>
      </c>
      <c r="P62" s="185" t="str">
        <f t="shared" si="14"/>
        <v>OK</v>
      </c>
      <c r="Q62" s="61">
        <f>$C$3</f>
        <v>700</v>
      </c>
      <c r="R62" s="41">
        <f t="shared" si="20"/>
        <v>32.470848099800001</v>
      </c>
      <c r="S62" s="54">
        <f t="shared" si="21"/>
        <v>0.33873762042499994</v>
      </c>
      <c r="T62" s="61">
        <f>$C$3</f>
        <v>700</v>
      </c>
      <c r="U62" s="41">
        <f t="shared" si="22"/>
        <v>34.410639725260005</v>
      </c>
      <c r="V62" s="41">
        <f t="shared" si="23"/>
        <v>0.36714418788710002</v>
      </c>
      <c r="W62" s="94">
        <f t="shared" ref="W62:W70" si="24">(T62*U62*100)/(135788*V62)</f>
        <v>48.316196346253669</v>
      </c>
      <c r="X62" s="84">
        <f t="shared" ref="X62:X70" si="25">E11</f>
        <v>34.288794150098845</v>
      </c>
      <c r="Y62" s="112">
        <f t="shared" ref="Y62:Y70" si="26">G11</f>
        <v>30.659498613341036</v>
      </c>
      <c r="Z62" s="112">
        <f t="shared" ref="Z62:Z70" si="27">H11</f>
        <v>0.31163861079099997</v>
      </c>
      <c r="AA62" s="112">
        <f t="shared" ref="AA62:AA70" si="28">I11</f>
        <v>0.36583663005899997</v>
      </c>
      <c r="AB62" s="83"/>
      <c r="AC62" s="120" t="str">
        <f t="shared" ref="AC62:AC70" si="29">IF(OR(U62&gt;X62,U62&lt;Y62),"FAIL","PASS")</f>
        <v>FAIL</v>
      </c>
      <c r="AD62" s="121" t="str">
        <f t="shared" ref="AD62:AD70" si="30">IF(OR(V62&gt;AA62,V62&lt;Z62),"FAIL","PASS")</f>
        <v>FAIL</v>
      </c>
      <c r="AE62" s="101"/>
      <c r="AF62" s="123" t="s">
        <v>95</v>
      </c>
    </row>
    <row r="63" spans="1:32" x14ac:dyDescent="0.25">
      <c r="A63" s="182">
        <v>4.87</v>
      </c>
      <c r="B63" s="167">
        <v>116.68</v>
      </c>
      <c r="C63" s="168">
        <v>2995.7</v>
      </c>
      <c r="D63" s="167">
        <v>39.119999999999997</v>
      </c>
      <c r="E63" s="144">
        <f t="shared" si="15"/>
        <v>12.273</v>
      </c>
      <c r="F63" s="166">
        <v>11.956</v>
      </c>
      <c r="G63" s="194" t="str">
        <f t="shared" si="16"/>
        <v>ALARM</v>
      </c>
      <c r="H63" s="189">
        <f t="shared" si="17"/>
        <v>857.5</v>
      </c>
      <c r="I63" s="167">
        <v>857.42</v>
      </c>
      <c r="J63" s="185" t="str">
        <f t="shared" si="18"/>
        <v>OK</v>
      </c>
      <c r="K63" s="146">
        <f t="shared" si="12"/>
        <v>34.199999999999996</v>
      </c>
      <c r="L63" s="167">
        <v>33.380000000000003</v>
      </c>
      <c r="M63" s="197" t="str">
        <f t="shared" si="13"/>
        <v>ALARM</v>
      </c>
      <c r="N63" s="201">
        <f t="shared" si="19"/>
        <v>0.39400000000000002</v>
      </c>
      <c r="O63" s="166">
        <v>0.39300000000000002</v>
      </c>
      <c r="P63" s="185" t="str">
        <f t="shared" si="14"/>
        <v>OK</v>
      </c>
      <c r="Q63" s="51">
        <f>(Q62+Q64)/2</f>
        <v>825</v>
      </c>
      <c r="R63" s="8">
        <f t="shared" si="20"/>
        <v>31.689462103857611</v>
      </c>
      <c r="S63" s="55">
        <f t="shared" si="21"/>
        <v>0.35255181358210447</v>
      </c>
      <c r="T63" s="51">
        <f>(T62+T64)/2</f>
        <v>825</v>
      </c>
      <c r="U63" s="8">
        <f t="shared" si="22"/>
        <v>33.668144460298578</v>
      </c>
      <c r="V63" s="8">
        <f t="shared" si="23"/>
        <v>0.39024612351545207</v>
      </c>
      <c r="W63" s="127">
        <f t="shared" si="24"/>
        <v>52.41711826406673</v>
      </c>
      <c r="X63" s="85">
        <f t="shared" si="25"/>
        <v>33.570838087227592</v>
      </c>
      <c r="Y63" s="113">
        <f t="shared" si="26"/>
        <v>29.807079605037579</v>
      </c>
      <c r="Z63" s="113">
        <f t="shared" si="27"/>
        <v>0.32434766849553615</v>
      </c>
      <c r="AA63" s="113">
        <f t="shared" si="28"/>
        <v>0.38075595866867284</v>
      </c>
      <c r="AB63" s="83"/>
      <c r="AC63" s="99" t="str">
        <f t="shared" si="29"/>
        <v>FAIL</v>
      </c>
      <c r="AD63" s="100" t="str">
        <f t="shared" si="30"/>
        <v>FAIL</v>
      </c>
      <c r="AE63" s="101"/>
    </row>
    <row r="64" spans="1:32" x14ac:dyDescent="0.25">
      <c r="A64" s="182">
        <v>4.7169999999999996</v>
      </c>
      <c r="B64" s="167">
        <v>135.04</v>
      </c>
      <c r="C64" s="168">
        <v>2995</v>
      </c>
      <c r="D64" s="167">
        <v>40.44</v>
      </c>
      <c r="E64" s="144">
        <f t="shared" si="15"/>
        <v>12.683999999999999</v>
      </c>
      <c r="F64" s="166">
        <v>12.682</v>
      </c>
      <c r="G64" s="185" t="str">
        <f t="shared" si="16"/>
        <v>OK</v>
      </c>
      <c r="H64" s="189">
        <f t="shared" si="17"/>
        <v>992.6</v>
      </c>
      <c r="I64" s="167">
        <v>992.57</v>
      </c>
      <c r="J64" s="185" t="str">
        <f t="shared" si="18"/>
        <v>OK</v>
      </c>
      <c r="K64" s="146">
        <f t="shared" si="12"/>
        <v>33.14</v>
      </c>
      <c r="L64" s="167">
        <v>32.33</v>
      </c>
      <c r="M64" s="197" t="str">
        <f t="shared" si="13"/>
        <v>ALARM</v>
      </c>
      <c r="N64" s="201">
        <f t="shared" si="19"/>
        <v>0.41799999999999998</v>
      </c>
      <c r="O64" s="166">
        <v>0.41799999999999998</v>
      </c>
      <c r="P64" s="185" t="str">
        <f t="shared" si="14"/>
        <v>OK</v>
      </c>
      <c r="Q64" s="51">
        <f>(Q62+Q66)/2</f>
        <v>950</v>
      </c>
      <c r="R64" s="8">
        <f t="shared" si="20"/>
        <v>30.623455699956246</v>
      </c>
      <c r="S64" s="55">
        <f t="shared" si="21"/>
        <v>0.36344069891328118</v>
      </c>
      <c r="T64" s="51">
        <f>(T62+T66)/2</f>
        <v>950</v>
      </c>
      <c r="U64" s="8">
        <f t="shared" si="22"/>
        <v>32.477391210088129</v>
      </c>
      <c r="V64" s="8">
        <f t="shared" si="23"/>
        <v>0.40863031870452182</v>
      </c>
      <c r="W64" s="127">
        <f t="shared" si="24"/>
        <v>55.604861569003297</v>
      </c>
      <c r="X64" s="85">
        <f t="shared" si="25"/>
        <v>32.624426296334313</v>
      </c>
      <c r="Y64" s="113">
        <f t="shared" si="26"/>
        <v>28.608632418103369</v>
      </c>
      <c r="Z64" s="113">
        <f t="shared" si="27"/>
        <v>0.3343654430002187</v>
      </c>
      <c r="AA64" s="113">
        <f t="shared" si="28"/>
        <v>0.39251595482634372</v>
      </c>
      <c r="AB64" s="83"/>
      <c r="AC64" s="99" t="str">
        <f t="shared" si="29"/>
        <v>PASS</v>
      </c>
      <c r="AD64" s="100" t="str">
        <f t="shared" si="30"/>
        <v>FAIL</v>
      </c>
      <c r="AE64" s="101"/>
    </row>
    <row r="65" spans="1:32" x14ac:dyDescent="0.25">
      <c r="A65" s="182">
        <v>4.4219999999999997</v>
      </c>
      <c r="B65" s="167">
        <v>151.99</v>
      </c>
      <c r="C65" s="168">
        <v>2994.6</v>
      </c>
      <c r="D65" s="167">
        <v>42.22</v>
      </c>
      <c r="E65" s="144">
        <f t="shared" si="15"/>
        <v>13.24</v>
      </c>
      <c r="F65" s="166">
        <v>13.236000000000001</v>
      </c>
      <c r="G65" s="185" t="str">
        <f t="shared" si="16"/>
        <v>OK</v>
      </c>
      <c r="H65" s="189">
        <f t="shared" si="17"/>
        <v>1117.3999999999999</v>
      </c>
      <c r="I65" s="167">
        <v>1117.3599999999999</v>
      </c>
      <c r="J65" s="185" t="str">
        <f t="shared" si="18"/>
        <v>OK</v>
      </c>
      <c r="K65" s="146">
        <f t="shared" si="12"/>
        <v>31.080000000000002</v>
      </c>
      <c r="L65" s="167">
        <v>30.27</v>
      </c>
      <c r="M65" s="197" t="str">
        <f t="shared" si="13"/>
        <v>ALARM</v>
      </c>
      <c r="N65" s="201">
        <f t="shared" si="19"/>
        <v>0.436</v>
      </c>
      <c r="O65" s="166">
        <v>0.436</v>
      </c>
      <c r="P65" s="185" t="str">
        <f t="shared" si="14"/>
        <v>OK</v>
      </c>
      <c r="Q65" s="51">
        <f>(Q64+Q66)/2</f>
        <v>1075</v>
      </c>
      <c r="R65" s="8">
        <f t="shared" si="20"/>
        <v>29.130005821933786</v>
      </c>
      <c r="S65" s="55">
        <f t="shared" si="21"/>
        <v>0.37117844488166507</v>
      </c>
      <c r="T65" s="51">
        <f>(T64+T66)/2</f>
        <v>1075</v>
      </c>
      <c r="U65" s="8">
        <f t="shared" si="22"/>
        <v>30.777058731489007</v>
      </c>
      <c r="V65" s="8">
        <f t="shared" si="23"/>
        <v>0.42213672079158976</v>
      </c>
      <c r="W65" s="127">
        <f t="shared" si="24"/>
        <v>57.719299759470587</v>
      </c>
      <c r="X65" s="85">
        <f t="shared" si="25"/>
        <v>31.325811230879737</v>
      </c>
      <c r="Y65" s="113">
        <f t="shared" si="26"/>
        <v>26.903546098432454</v>
      </c>
      <c r="Z65" s="113">
        <f t="shared" si="27"/>
        <v>0.3414841692911319</v>
      </c>
      <c r="AA65" s="113">
        <f t="shared" si="28"/>
        <v>0.4008727204721983</v>
      </c>
      <c r="AB65" s="83"/>
      <c r="AC65" s="99" t="str">
        <f t="shared" si="29"/>
        <v>PASS</v>
      </c>
      <c r="AD65" s="100" t="str">
        <f t="shared" si="30"/>
        <v>FAIL</v>
      </c>
      <c r="AE65" s="101"/>
    </row>
    <row r="66" spans="1:32" x14ac:dyDescent="0.25">
      <c r="A66" s="182">
        <v>3.9239999999999999</v>
      </c>
      <c r="B66" s="167">
        <v>172.26</v>
      </c>
      <c r="C66" s="168">
        <v>2995.6</v>
      </c>
      <c r="D66" s="167">
        <v>42.25</v>
      </c>
      <c r="E66" s="144">
        <f t="shared" si="15"/>
        <v>13.254</v>
      </c>
      <c r="F66" s="166">
        <v>13.250999999999999</v>
      </c>
      <c r="G66" s="185" t="str">
        <f t="shared" si="16"/>
        <v>OK</v>
      </c>
      <c r="H66" s="190">
        <f t="shared" si="17"/>
        <v>1266</v>
      </c>
      <c r="I66" s="167">
        <v>1265.93</v>
      </c>
      <c r="J66" s="185" t="str">
        <f t="shared" si="18"/>
        <v>OK</v>
      </c>
      <c r="K66" s="192">
        <f t="shared" si="12"/>
        <v>27.560000000000002</v>
      </c>
      <c r="L66" s="167">
        <v>26.76</v>
      </c>
      <c r="M66" s="197" t="str">
        <f t="shared" si="13"/>
        <v>ALARM</v>
      </c>
      <c r="N66" s="200">
        <f t="shared" si="19"/>
        <v>0.436</v>
      </c>
      <c r="O66" s="166">
        <v>0.436</v>
      </c>
      <c r="P66" s="185" t="str">
        <f t="shared" si="14"/>
        <v>OK</v>
      </c>
      <c r="Q66" s="61">
        <f>$F$3</f>
        <v>1200</v>
      </c>
      <c r="R66" s="41">
        <f t="shared" si="20"/>
        <v>27.062060604799996</v>
      </c>
      <c r="S66" s="54">
        <f t="shared" si="21"/>
        <v>0.37581834079999993</v>
      </c>
      <c r="T66" s="61">
        <f>$F$3</f>
        <v>1200</v>
      </c>
      <c r="U66" s="41">
        <f t="shared" si="22"/>
        <v>28.526746389760003</v>
      </c>
      <c r="V66" s="41">
        <f t="shared" si="23"/>
        <v>0.43126485416960003</v>
      </c>
      <c r="W66" s="94">
        <f t="shared" si="24"/>
        <v>58.455856554866585</v>
      </c>
      <c r="X66" s="84">
        <f t="shared" si="25"/>
        <v>29.542132025608542</v>
      </c>
      <c r="Y66" s="112">
        <f t="shared" si="26"/>
        <v>24.533748216213777</v>
      </c>
      <c r="Z66" s="112">
        <f t="shared" si="27"/>
        <v>0.34575287353599993</v>
      </c>
      <c r="AA66" s="112">
        <f t="shared" si="28"/>
        <v>0.40588380806399993</v>
      </c>
      <c r="AB66" s="90">
        <f>0.9*I3</f>
        <v>57.278896193482765</v>
      </c>
      <c r="AC66" s="120" t="str">
        <f t="shared" si="29"/>
        <v>PASS</v>
      </c>
      <c r="AD66" s="121" t="str">
        <f t="shared" si="30"/>
        <v>FAIL</v>
      </c>
      <c r="AE66" s="122" t="str">
        <f>IF(W66&lt;AB66,"FAIL","PASS")</f>
        <v>PASS</v>
      </c>
      <c r="AF66" s="123" t="s">
        <v>96</v>
      </c>
    </row>
    <row r="67" spans="1:32" x14ac:dyDescent="0.25">
      <c r="A67" s="182">
        <v>3.4590000000000001</v>
      </c>
      <c r="B67" s="167">
        <v>190.3</v>
      </c>
      <c r="C67" s="168">
        <v>2993.1</v>
      </c>
      <c r="D67" s="167">
        <v>41.72</v>
      </c>
      <c r="E67" s="144">
        <f t="shared" si="15"/>
        <v>13.077</v>
      </c>
      <c r="F67" s="166">
        <v>13.074999999999999</v>
      </c>
      <c r="G67" s="185" t="str">
        <f t="shared" si="16"/>
        <v>OK</v>
      </c>
      <c r="H67" s="189">
        <f t="shared" si="17"/>
        <v>1399.6999999999998</v>
      </c>
      <c r="I67" s="167">
        <v>1399.65</v>
      </c>
      <c r="J67" s="185" t="str">
        <f t="shared" si="18"/>
        <v>OK</v>
      </c>
      <c r="K67" s="146">
        <f t="shared" si="12"/>
        <v>24.330000000000002</v>
      </c>
      <c r="L67" s="167">
        <v>23.54</v>
      </c>
      <c r="M67" s="197" t="str">
        <f t="shared" si="13"/>
        <v>ALARM</v>
      </c>
      <c r="N67" s="201">
        <f t="shared" si="19"/>
        <v>0.432</v>
      </c>
      <c r="O67" s="166">
        <v>0.43099999999999999</v>
      </c>
      <c r="P67" s="185" t="str">
        <f t="shared" si="14"/>
        <v>OK</v>
      </c>
      <c r="Q67" s="51">
        <f>(Q66+Q68)/2</f>
        <v>1325</v>
      </c>
      <c r="R67" s="8">
        <f t="shared" si="20"/>
        <v>24.285252983369322</v>
      </c>
      <c r="S67" s="55">
        <f t="shared" si="21"/>
        <v>0.37764609578083502</v>
      </c>
      <c r="T67" s="51">
        <f>(T66+T68)/2</f>
        <v>1325</v>
      </c>
      <c r="U67" s="8">
        <f t="shared" si="22"/>
        <v>25.712481670765371</v>
      </c>
      <c r="V67" s="8">
        <f t="shared" si="23"/>
        <v>0.43706631734526641</v>
      </c>
      <c r="W67" s="127">
        <f t="shared" si="24"/>
        <v>57.405187915034709</v>
      </c>
      <c r="X67" s="85">
        <f t="shared" si="25"/>
        <v>27.145156287766291</v>
      </c>
      <c r="Y67" s="113">
        <f t="shared" si="26"/>
        <v>21.36421205431725</v>
      </c>
      <c r="Z67" s="113">
        <f t="shared" si="27"/>
        <v>0.34743440811836823</v>
      </c>
      <c r="AA67" s="113">
        <f t="shared" si="28"/>
        <v>0.40785778344330187</v>
      </c>
      <c r="AB67" s="83"/>
      <c r="AC67" s="99" t="str">
        <f t="shared" si="29"/>
        <v>PASS</v>
      </c>
      <c r="AD67" s="100" t="str">
        <f t="shared" si="30"/>
        <v>FAIL</v>
      </c>
      <c r="AE67" s="101"/>
    </row>
    <row r="68" spans="1:32" x14ac:dyDescent="0.25">
      <c r="A68" s="182">
        <v>2.8740000000000001</v>
      </c>
      <c r="B68" s="167">
        <v>211.75</v>
      </c>
      <c r="C68" s="168">
        <v>2993.5</v>
      </c>
      <c r="D68" s="167">
        <v>42.72</v>
      </c>
      <c r="E68" s="144">
        <f t="shared" si="15"/>
        <v>13.391999999999999</v>
      </c>
      <c r="F68" s="166">
        <v>13.388</v>
      </c>
      <c r="G68" s="185" t="str">
        <f t="shared" si="16"/>
        <v>OK</v>
      </c>
      <c r="H68" s="189">
        <f t="shared" si="17"/>
        <v>1557.3</v>
      </c>
      <c r="I68" s="167">
        <v>1557.25</v>
      </c>
      <c r="J68" s="185" t="str">
        <f t="shared" si="18"/>
        <v>OK</v>
      </c>
      <c r="K68" s="146">
        <f t="shared" si="12"/>
        <v>20.21</v>
      </c>
      <c r="L68" s="167">
        <v>19.420000000000002</v>
      </c>
      <c r="M68" s="197" t="str">
        <f t="shared" si="13"/>
        <v>ALARM</v>
      </c>
      <c r="N68" s="201">
        <f t="shared" si="19"/>
        <v>0.442</v>
      </c>
      <c r="O68" s="166">
        <v>0.441</v>
      </c>
      <c r="P68" s="185" t="str">
        <f t="shared" si="14"/>
        <v>OK</v>
      </c>
      <c r="Q68" s="51">
        <f>(Q66+Q70)/2</f>
        <v>1450</v>
      </c>
      <c r="R68" s="8">
        <f t="shared" si="20"/>
        <v>20.694814290893756</v>
      </c>
      <c r="S68" s="55">
        <f t="shared" si="21"/>
        <v>0.37713313768671869</v>
      </c>
      <c r="T68" s="51">
        <f>(T66+T70)/2</f>
        <v>1450</v>
      </c>
      <c r="U68" s="8">
        <f t="shared" si="22"/>
        <v>22.352227693181874</v>
      </c>
      <c r="V68" s="8">
        <f t="shared" si="23"/>
        <v>0.44103727999717834</v>
      </c>
      <c r="W68" s="127">
        <f t="shared" si="24"/>
        <v>54.119293969891842</v>
      </c>
      <c r="X68" s="85">
        <f t="shared" si="25"/>
        <v>24.025021888316367</v>
      </c>
      <c r="Y68" s="113">
        <f t="shared" si="26"/>
        <v>17.303463796679726</v>
      </c>
      <c r="Z68" s="113">
        <f t="shared" si="27"/>
        <v>0.3469624866717812</v>
      </c>
      <c r="AA68" s="113">
        <f t="shared" si="28"/>
        <v>0.40730378870165623</v>
      </c>
      <c r="AB68" s="83"/>
      <c r="AC68" s="99" t="str">
        <f t="shared" si="29"/>
        <v>PASS</v>
      </c>
      <c r="AD68" s="100" t="str">
        <f t="shared" si="30"/>
        <v>FAIL</v>
      </c>
      <c r="AE68" s="101"/>
    </row>
    <row r="69" spans="1:32" x14ac:dyDescent="0.25">
      <c r="A69" s="182">
        <v>2.0590000000000002</v>
      </c>
      <c r="B69" s="167">
        <v>233.07</v>
      </c>
      <c r="C69" s="168">
        <v>2995.3</v>
      </c>
      <c r="D69" s="167">
        <v>43.75</v>
      </c>
      <c r="E69" s="144">
        <f t="shared" si="15"/>
        <v>13.723000000000001</v>
      </c>
      <c r="F69" s="166">
        <v>13.72</v>
      </c>
      <c r="G69" s="185" t="str">
        <f t="shared" si="16"/>
        <v>OK</v>
      </c>
      <c r="H69" s="189">
        <f t="shared" si="17"/>
        <v>1713</v>
      </c>
      <c r="I69" s="167">
        <v>1712.95</v>
      </c>
      <c r="J69" s="185" t="str">
        <f t="shared" si="18"/>
        <v>OK</v>
      </c>
      <c r="K69" s="146">
        <f t="shared" si="12"/>
        <v>14.47</v>
      </c>
      <c r="L69" s="167">
        <v>13.68</v>
      </c>
      <c r="M69" s="197" t="str">
        <f t="shared" si="13"/>
        <v>ALARM</v>
      </c>
      <c r="N69" s="201">
        <f t="shared" si="19"/>
        <v>0.45200000000000001</v>
      </c>
      <c r="O69" s="166">
        <v>0.45200000000000001</v>
      </c>
      <c r="P69" s="185" t="str">
        <f t="shared" si="14"/>
        <v>OK</v>
      </c>
      <c r="Q69" s="51">
        <f>(Q68+Q70)/2</f>
        <v>1575</v>
      </c>
      <c r="R69" s="8">
        <f t="shared" si="20"/>
        <v>16.232487857695538</v>
      </c>
      <c r="S69" s="55">
        <f t="shared" si="21"/>
        <v>0.37488991208039563</v>
      </c>
      <c r="T69" s="51">
        <f>(T68+T70)/2</f>
        <v>1575</v>
      </c>
      <c r="U69" s="8">
        <f t="shared" si="22"/>
        <v>18.501390720705793</v>
      </c>
      <c r="V69" s="8">
        <f t="shared" si="23"/>
        <v>0.44501098003390405</v>
      </c>
      <c r="W69" s="127">
        <f t="shared" si="24"/>
        <v>48.222843413423192</v>
      </c>
      <c r="X69" s="85">
        <f t="shared" si="25"/>
        <v>20.103978753156863</v>
      </c>
      <c r="Y69" s="113">
        <f t="shared" si="26"/>
        <v>12.324089716691173</v>
      </c>
      <c r="Z69" s="113">
        <f t="shared" si="27"/>
        <v>0.34489871911396397</v>
      </c>
      <c r="AA69" s="113">
        <f t="shared" si="28"/>
        <v>0.40488110504682728</v>
      </c>
      <c r="AB69" s="83"/>
      <c r="AC69" s="99" t="str">
        <f t="shared" si="29"/>
        <v>PASS</v>
      </c>
      <c r="AD69" s="100" t="str">
        <f t="shared" si="30"/>
        <v>FAIL</v>
      </c>
      <c r="AE69" s="101"/>
    </row>
    <row r="70" spans="1:32" x14ac:dyDescent="0.25">
      <c r="A70" s="182">
        <v>1.377</v>
      </c>
      <c r="B70" s="167">
        <v>251.61</v>
      </c>
      <c r="C70" s="168">
        <v>2994.5</v>
      </c>
      <c r="D70" s="167">
        <v>45.46</v>
      </c>
      <c r="E70" s="144">
        <f t="shared" si="15"/>
        <v>14.256</v>
      </c>
      <c r="F70" s="166">
        <v>14.25</v>
      </c>
      <c r="G70" s="185" t="str">
        <f t="shared" si="16"/>
        <v>OK</v>
      </c>
      <c r="H70" s="190">
        <f t="shared" si="17"/>
        <v>1849.8</v>
      </c>
      <c r="I70" s="167">
        <v>1849.71</v>
      </c>
      <c r="J70" s="185" t="str">
        <f t="shared" si="18"/>
        <v>OK</v>
      </c>
      <c r="K70" s="192">
        <f t="shared" si="12"/>
        <v>9.68</v>
      </c>
      <c r="L70" s="167">
        <v>8.9</v>
      </c>
      <c r="M70" s="197" t="str">
        <f t="shared" si="13"/>
        <v>ALARM</v>
      </c>
      <c r="N70" s="200">
        <f t="shared" si="19"/>
        <v>0.47</v>
      </c>
      <c r="O70" s="166">
        <v>0.46899999999999997</v>
      </c>
      <c r="P70" s="185" t="str">
        <f t="shared" si="14"/>
        <v>OK</v>
      </c>
      <c r="Q70" s="61">
        <f>$J$3</f>
        <v>1700</v>
      </c>
      <c r="R70" s="41">
        <f t="shared" si="20"/>
        <v>10.90344260980001</v>
      </c>
      <c r="S70" s="54">
        <f t="shared" si="21"/>
        <v>0.37161918117500009</v>
      </c>
      <c r="T70" s="61">
        <f>$J$3</f>
        <v>1700</v>
      </c>
      <c r="U70" s="41">
        <f t="shared" si="22"/>
        <v>14.258327674259998</v>
      </c>
      <c r="V70" s="41">
        <f t="shared" si="23"/>
        <v>0.45105022065209949</v>
      </c>
      <c r="W70" s="94">
        <f t="shared" si="24"/>
        <v>39.575938381996416</v>
      </c>
      <c r="X70" s="84">
        <f t="shared" si="25"/>
        <v>15.350130654337521</v>
      </c>
      <c r="Y70" s="112">
        <f t="shared" si="26"/>
        <v>6.4832433655806634</v>
      </c>
      <c r="Z70" s="112">
        <f t="shared" si="27"/>
        <v>0.34188964668100008</v>
      </c>
      <c r="AA70" s="112">
        <f t="shared" si="28"/>
        <v>0.4013487156690001</v>
      </c>
      <c r="AB70" s="83"/>
      <c r="AC70" s="120" t="str">
        <f t="shared" si="29"/>
        <v>PASS</v>
      </c>
      <c r="AD70" s="121" t="str">
        <f t="shared" si="30"/>
        <v>FAIL</v>
      </c>
      <c r="AE70" s="101"/>
      <c r="AF70" s="209" t="s">
        <v>97</v>
      </c>
    </row>
    <row r="71" spans="1:32" x14ac:dyDescent="0.25">
      <c r="A71" s="182">
        <v>2.7E-2</v>
      </c>
      <c r="B71" s="167">
        <v>285.91000000000003</v>
      </c>
      <c r="C71" s="168">
        <v>2993.3</v>
      </c>
      <c r="D71" s="167">
        <v>49.26</v>
      </c>
      <c r="E71" s="144">
        <f t="shared" si="15"/>
        <v>15.441000000000001</v>
      </c>
      <c r="F71" s="166">
        <v>15.438000000000001</v>
      </c>
      <c r="G71" s="185" t="str">
        <f t="shared" si="16"/>
        <v>OK</v>
      </c>
      <c r="H71" s="208">
        <f t="shared" si="17"/>
        <v>2102.7999999999997</v>
      </c>
      <c r="I71" s="167">
        <v>2102.77</v>
      </c>
      <c r="J71" s="185" t="str">
        <f t="shared" si="18"/>
        <v>OK</v>
      </c>
      <c r="K71" s="145">
        <f t="shared" si="12"/>
        <v>0.19</v>
      </c>
      <c r="L71" s="167">
        <v>1.4E-2</v>
      </c>
      <c r="M71" s="197" t="str">
        <f t="shared" si="13"/>
        <v>ALARM</v>
      </c>
      <c r="N71" s="201">
        <f t="shared" si="19"/>
        <v>0.50900000000000001</v>
      </c>
      <c r="O71" s="166">
        <v>0.50900000000000001</v>
      </c>
      <c r="P71" s="185" t="str">
        <f t="shared" si="14"/>
        <v>OK</v>
      </c>
      <c r="Q71" s="51">
        <f>(Q70+Q72)/2</f>
        <v>1800</v>
      </c>
      <c r="R71" s="8">
        <f t="shared" si="20"/>
        <v>6.0704990191999997</v>
      </c>
      <c r="S71" s="55">
        <f t="shared" si="21"/>
        <v>0.3687653623999998</v>
      </c>
      <c r="T71" s="51">
        <f>(T70+T72)/2</f>
        <v>1800</v>
      </c>
      <c r="U71" s="8">
        <f t="shared" si="22"/>
        <v>10.678365370240002</v>
      </c>
      <c r="V71" s="8">
        <f t="shared" si="23"/>
        <v>0.45883567591039998</v>
      </c>
      <c r="W71" s="92"/>
      <c r="X71" s="118"/>
      <c r="Y71" s="115"/>
      <c r="Z71" s="115"/>
      <c r="AA71" s="110"/>
      <c r="AB71" s="83"/>
      <c r="AC71" s="104"/>
      <c r="AD71" s="107"/>
      <c r="AE71" s="98"/>
    </row>
    <row r="72" spans="1:32" ht="13.2" thickBot="1" x14ac:dyDescent="0.3">
      <c r="A72" s="183"/>
      <c r="B72" s="170"/>
      <c r="C72" s="171"/>
      <c r="D72" s="170"/>
      <c r="E72" s="58"/>
      <c r="F72" s="169"/>
      <c r="G72" s="59"/>
      <c r="H72" s="178"/>
      <c r="I72" s="170"/>
      <c r="J72" s="59"/>
      <c r="K72" s="193"/>
      <c r="L72" s="170"/>
      <c r="M72" s="180"/>
      <c r="N72" s="203"/>
      <c r="O72" s="169"/>
      <c r="P72" s="59"/>
      <c r="Q72" s="56">
        <f>$N$3</f>
        <v>1900</v>
      </c>
      <c r="R72" s="57">
        <f t="shared" si="20"/>
        <v>0.82352819660003718</v>
      </c>
      <c r="S72" s="62">
        <f t="shared" si="21"/>
        <v>0.36611774412499992</v>
      </c>
      <c r="T72" s="56">
        <f>$N$3</f>
        <v>1900</v>
      </c>
      <c r="U72" s="57">
        <f t="shared" si="22"/>
        <v>7.0400868218199975</v>
      </c>
      <c r="V72" s="57">
        <f t="shared" si="23"/>
        <v>0.47047142541469944</v>
      </c>
      <c r="W72" s="93"/>
      <c r="X72" s="119"/>
      <c r="Y72" s="116"/>
      <c r="Z72" s="116"/>
      <c r="AA72" s="111"/>
      <c r="AB72" s="86"/>
      <c r="AC72" s="105"/>
      <c r="AD72" s="108"/>
      <c r="AE72" s="102"/>
    </row>
  </sheetData>
  <mergeCells count="23">
    <mergeCell ref="A5:C5"/>
    <mergeCell ref="D5:I5"/>
    <mergeCell ref="AA5:AD5"/>
    <mergeCell ref="A1:N1"/>
    <mergeCell ref="O1:T1"/>
    <mergeCell ref="U1:Z1"/>
    <mergeCell ref="AA2:AF2"/>
    <mergeCell ref="A4:N4"/>
    <mergeCell ref="AC58:AE58"/>
    <mergeCell ref="D6:E6"/>
    <mergeCell ref="F6:G6"/>
    <mergeCell ref="X49:Y49"/>
    <mergeCell ref="A51:L51"/>
    <mergeCell ref="A56:B56"/>
    <mergeCell ref="D56:F56"/>
    <mergeCell ref="H56:P56"/>
    <mergeCell ref="Q56:S56"/>
    <mergeCell ref="T56:W56"/>
    <mergeCell ref="A57:G57"/>
    <mergeCell ref="H57:P57"/>
    <mergeCell ref="Q57:S57"/>
    <mergeCell ref="T57:W57"/>
    <mergeCell ref="X57:AB57"/>
  </mergeCells>
  <pageMargins left="0.75" right="0.75" top="1" bottom="1" header="0.5" footer="0.5"/>
  <pageSetup paperSize="3" scale="5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2"/>
  <sheetViews>
    <sheetView topLeftCell="D25" zoomScale="90" zoomScaleNormal="90" workbookViewId="0">
      <selection activeCell="T56" sqref="T56:W72"/>
    </sheetView>
  </sheetViews>
  <sheetFormatPr defaultRowHeight="12.6" x14ac:dyDescent="0.25"/>
  <cols>
    <col min="1" max="1" width="12.6640625" bestFit="1" customWidth="1"/>
    <col min="2" max="2" width="12.77734375" bestFit="1" customWidth="1"/>
    <col min="3" max="3" width="12.21875" bestFit="1" customWidth="1"/>
    <col min="4" max="4" width="12.77734375" bestFit="1" customWidth="1"/>
    <col min="5" max="5" width="13.6640625" bestFit="1" customWidth="1"/>
    <col min="6" max="6" width="12.77734375" bestFit="1" customWidth="1"/>
    <col min="7" max="7" width="13.88671875" customWidth="1"/>
    <col min="8" max="8" width="13.5546875" customWidth="1"/>
    <col min="9" max="9" width="14.109375" customWidth="1"/>
    <col min="10" max="10" width="14.44140625" customWidth="1"/>
    <col min="11" max="11" width="13.88671875" customWidth="1"/>
    <col min="12" max="12" width="14.6640625" customWidth="1"/>
    <col min="13" max="13" width="14" customWidth="1"/>
    <col min="14" max="14" width="16.21875" customWidth="1"/>
    <col min="15" max="15" width="14" customWidth="1"/>
    <col min="16" max="16" width="14.109375" customWidth="1"/>
    <col min="17" max="17" width="14.88671875" style="3" customWidth="1"/>
    <col min="18" max="18" width="13.88671875" style="3" customWidth="1"/>
    <col min="19" max="19" width="14.44140625" style="3" customWidth="1"/>
    <col min="20" max="20" width="13.5546875" style="3" customWidth="1"/>
    <col min="21" max="22" width="13.88671875" customWidth="1"/>
    <col min="23" max="23" width="14.6640625" customWidth="1"/>
    <col min="24" max="24" width="13.5546875" customWidth="1"/>
    <col min="25" max="25" width="14.6640625" customWidth="1"/>
    <col min="26" max="26" width="13.5546875" customWidth="1"/>
    <col min="31" max="31" width="13.77734375" customWidth="1"/>
  </cols>
  <sheetData>
    <row r="1" spans="1:32" ht="41.25" customHeight="1" x14ac:dyDescent="0.25">
      <c r="A1" s="467" t="s">
        <v>138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9"/>
      <c r="O1" s="462" t="s">
        <v>38</v>
      </c>
      <c r="P1" s="463"/>
      <c r="Q1" s="463"/>
      <c r="R1" s="463"/>
      <c r="S1" s="463"/>
      <c r="T1" s="463"/>
      <c r="U1" s="462" t="s">
        <v>39</v>
      </c>
      <c r="V1" s="463"/>
      <c r="W1" s="463"/>
      <c r="X1" s="463"/>
      <c r="Y1" s="463"/>
      <c r="Z1" s="464"/>
    </row>
    <row r="2" spans="1:32" s="4" customFormat="1" ht="54" thickBot="1" x14ac:dyDescent="0.55000000000000004">
      <c r="A2" s="128" t="s">
        <v>22</v>
      </c>
      <c r="B2" s="16" t="s">
        <v>26</v>
      </c>
      <c r="C2" s="17" t="s">
        <v>23</v>
      </c>
      <c r="D2" s="16" t="s">
        <v>24</v>
      </c>
      <c r="E2" s="16" t="s">
        <v>25</v>
      </c>
      <c r="F2" s="18" t="s">
        <v>27</v>
      </c>
      <c r="G2" s="16" t="s">
        <v>28</v>
      </c>
      <c r="H2" s="16" t="s">
        <v>29</v>
      </c>
      <c r="I2" s="19" t="s">
        <v>30</v>
      </c>
      <c r="J2" s="20" t="s">
        <v>31</v>
      </c>
      <c r="K2" s="16" t="s">
        <v>32</v>
      </c>
      <c r="L2" s="16" t="s">
        <v>33</v>
      </c>
      <c r="M2" s="16"/>
      <c r="N2" s="15" t="s">
        <v>34</v>
      </c>
      <c r="O2" s="22" t="s">
        <v>189</v>
      </c>
      <c r="P2" s="22" t="s">
        <v>2</v>
      </c>
      <c r="Q2" s="22" t="s">
        <v>3</v>
      </c>
      <c r="R2" s="22" t="s">
        <v>4</v>
      </c>
      <c r="S2" s="22" t="s">
        <v>5</v>
      </c>
      <c r="T2" s="22" t="s">
        <v>6</v>
      </c>
      <c r="U2" s="22" t="s">
        <v>188</v>
      </c>
      <c r="V2" s="22" t="s">
        <v>8</v>
      </c>
      <c r="W2" s="22" t="s">
        <v>9</v>
      </c>
      <c r="X2" s="22" t="s">
        <v>10</v>
      </c>
      <c r="Y2" s="22" t="s">
        <v>11</v>
      </c>
      <c r="Z2" s="129" t="s">
        <v>12</v>
      </c>
      <c r="AA2" s="432" t="s">
        <v>133</v>
      </c>
      <c r="AB2" s="433"/>
      <c r="AC2" s="433"/>
      <c r="AD2" s="433"/>
      <c r="AE2" s="433"/>
      <c r="AF2" s="433"/>
    </row>
    <row r="3" spans="1:32" s="4" customFormat="1" ht="13.2" thickBot="1" x14ac:dyDescent="0.3">
      <c r="A3" s="133">
        <f>'Pump coeff'!M3</f>
        <v>34.578919999999997</v>
      </c>
      <c r="B3" s="134">
        <f>'Pump coeff'!N3</f>
        <v>0.25501099999999999</v>
      </c>
      <c r="C3" s="135">
        <f>'Pump coeff'!O3</f>
        <v>700</v>
      </c>
      <c r="D3" s="134">
        <f>'Pump coeff'!P3</f>
        <v>32.470848099800001</v>
      </c>
      <c r="E3" s="134">
        <f>'Pump coeff'!Q3</f>
        <v>0.33873762042499994</v>
      </c>
      <c r="F3" s="135">
        <f>'Pump coeff'!R3</f>
        <v>1200</v>
      </c>
      <c r="G3" s="134">
        <f>'Pump coeff'!S3</f>
        <v>27.062060604799996</v>
      </c>
      <c r="H3" s="134">
        <f>'Pump coeff'!T3</f>
        <v>0.37581834079999993</v>
      </c>
      <c r="I3" s="136">
        <f>'Pump coeff'!U3</f>
        <v>63.643217992758629</v>
      </c>
      <c r="J3" s="135">
        <f>'Pump coeff'!V3</f>
        <v>1700</v>
      </c>
      <c r="K3" s="134">
        <f>'Pump coeff'!W3</f>
        <v>10.90344260980001</v>
      </c>
      <c r="L3" s="134">
        <f>'Pump coeff'!X3</f>
        <v>0.37161918117500009</v>
      </c>
      <c r="M3" s="137"/>
      <c r="N3" s="138">
        <f>'Pump coeff'!Z3</f>
        <v>1900</v>
      </c>
      <c r="O3" s="139">
        <f>'Pump coeff'!AA3</f>
        <v>34.578919999999997</v>
      </c>
      <c r="P3" s="139">
        <f>'Pump coeff'!AB3</f>
        <v>2.748061E-3</v>
      </c>
      <c r="Q3" s="139">
        <f>'Pump coeff'!AC3</f>
        <v>-2.0896069999999999E-5</v>
      </c>
      <c r="R3" s="139">
        <f>'Pump coeff'!AD3</f>
        <v>3.1696020000000001E-8</v>
      </c>
      <c r="S3" s="139">
        <f>'Pump coeff'!AE3</f>
        <v>-2.2659780000000001E-11</v>
      </c>
      <c r="T3" s="139">
        <f>'Pump coeff'!AF3</f>
        <v>4.6185400000000003E-15</v>
      </c>
      <c r="U3" s="139">
        <f>'Pump coeff'!AG3</f>
        <v>0.25501099999999999</v>
      </c>
      <c r="V3" s="139">
        <f>'Pump coeff'!AH3</f>
        <v>3.5073200000000002E-5</v>
      </c>
      <c r="W3" s="139">
        <f>'Pump coeff'!AI3</f>
        <v>2.8384999999999999E-7</v>
      </c>
      <c r="X3" s="139">
        <f>'Pump coeff'!AJ3</f>
        <v>-3.0247599999999999E-10</v>
      </c>
      <c r="Y3" s="139">
        <f>'Pump coeff'!AK3</f>
        <v>1.08211E-13</v>
      </c>
      <c r="Z3" s="234">
        <f>'Pump coeff'!AL3</f>
        <v>-1.2752500000000001E-17</v>
      </c>
      <c r="AA3" s="43" t="s">
        <v>182</v>
      </c>
      <c r="AB3" s="36" t="s">
        <v>183</v>
      </c>
      <c r="AC3" s="36" t="s">
        <v>184</v>
      </c>
      <c r="AD3" s="36" t="s">
        <v>185</v>
      </c>
      <c r="AE3" s="36" t="s">
        <v>186</v>
      </c>
      <c r="AF3" s="37" t="s">
        <v>187</v>
      </c>
    </row>
    <row r="4" spans="1:32" s="4" customFormat="1" ht="13.2" thickBot="1" x14ac:dyDescent="0.3">
      <c r="A4" s="470" t="s">
        <v>181</v>
      </c>
      <c r="B4" s="471"/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235"/>
      <c r="AA4" s="236"/>
      <c r="AB4" s="237"/>
      <c r="AC4" s="237"/>
      <c r="AD4" s="237"/>
      <c r="AE4" s="237"/>
      <c r="AF4" s="238"/>
    </row>
    <row r="5" spans="1:32" ht="13.2" thickBot="1" x14ac:dyDescent="0.3">
      <c r="A5" s="437" t="s">
        <v>76</v>
      </c>
      <c r="B5" s="438"/>
      <c r="C5" s="472"/>
      <c r="D5" s="437" t="s">
        <v>84</v>
      </c>
      <c r="E5" s="438"/>
      <c r="F5" s="439"/>
      <c r="G5" s="439"/>
      <c r="H5" s="439"/>
      <c r="I5" s="440"/>
      <c r="J5" s="69"/>
      <c r="K5" s="69"/>
      <c r="L5" s="69"/>
      <c r="M5" s="69"/>
      <c r="N5" s="69"/>
      <c r="AA5" s="434" t="s">
        <v>134</v>
      </c>
      <c r="AB5" s="435"/>
      <c r="AC5" s="435"/>
      <c r="AD5" s="436"/>
    </row>
    <row r="6" spans="1:32" ht="38.25" customHeight="1" thickBot="1" x14ac:dyDescent="0.3">
      <c r="A6" s="63"/>
      <c r="B6" s="64"/>
      <c r="C6" s="65"/>
      <c r="D6" s="465" t="s">
        <v>85</v>
      </c>
      <c r="E6" s="466"/>
      <c r="F6" s="465" t="s">
        <v>86</v>
      </c>
      <c r="G6" s="466"/>
      <c r="H6" s="66"/>
      <c r="I6" s="67"/>
      <c r="J6" s="69"/>
      <c r="K6" s="69"/>
      <c r="L6" s="69"/>
      <c r="M6" s="69"/>
      <c r="N6" s="69"/>
      <c r="AA6" s="230"/>
      <c r="AB6" s="231"/>
      <c r="AC6" s="232"/>
      <c r="AD6" s="154"/>
    </row>
    <row r="7" spans="1:32" x14ac:dyDescent="0.25">
      <c r="A7" s="43" t="s">
        <v>70</v>
      </c>
      <c r="B7" s="36" t="s">
        <v>72</v>
      </c>
      <c r="C7" s="37" t="s">
        <v>74</v>
      </c>
      <c r="D7" s="43" t="s">
        <v>78</v>
      </c>
      <c r="E7" s="36" t="s">
        <v>81</v>
      </c>
      <c r="F7" s="36" t="s">
        <v>80</v>
      </c>
      <c r="G7" s="36" t="s">
        <v>79</v>
      </c>
      <c r="H7" s="36" t="s">
        <v>82</v>
      </c>
      <c r="I7" s="37" t="s">
        <v>83</v>
      </c>
      <c r="J7" s="70"/>
      <c r="K7" s="70"/>
      <c r="L7" s="70"/>
      <c r="M7" s="70"/>
      <c r="N7" s="70"/>
      <c r="AA7" s="43" t="s">
        <v>70</v>
      </c>
      <c r="AB7" s="36" t="s">
        <v>72</v>
      </c>
      <c r="AC7" s="38" t="s">
        <v>74</v>
      </c>
      <c r="AD7" s="155" t="s">
        <v>135</v>
      </c>
    </row>
    <row r="8" spans="1:32" ht="13.2" thickBot="1" x14ac:dyDescent="0.3">
      <c r="A8" s="44" t="s">
        <v>71</v>
      </c>
      <c r="B8" s="45" t="s">
        <v>73</v>
      </c>
      <c r="C8" s="46" t="s">
        <v>75</v>
      </c>
      <c r="D8" s="44" t="s">
        <v>71</v>
      </c>
      <c r="E8" s="45" t="s">
        <v>73</v>
      </c>
      <c r="F8" s="45" t="s">
        <v>71</v>
      </c>
      <c r="G8" s="45" t="s">
        <v>73</v>
      </c>
      <c r="H8" s="45" t="s">
        <v>75</v>
      </c>
      <c r="I8" s="46" t="s">
        <v>75</v>
      </c>
      <c r="J8" s="70" t="s">
        <v>98</v>
      </c>
      <c r="K8" s="70"/>
      <c r="L8" s="70"/>
      <c r="M8" s="70"/>
      <c r="N8" s="70"/>
      <c r="AA8" s="44" t="s">
        <v>71</v>
      </c>
      <c r="AB8" s="45" t="s">
        <v>73</v>
      </c>
      <c r="AC8" s="68" t="s">
        <v>75</v>
      </c>
      <c r="AD8" s="156" t="s">
        <v>92</v>
      </c>
    </row>
    <row r="9" spans="1:32" x14ac:dyDescent="0.25">
      <c r="A9" s="47">
        <v>0</v>
      </c>
      <c r="B9" s="48">
        <f>O3</f>
        <v>34.578919999999997</v>
      </c>
      <c r="C9" s="60">
        <f>U3</f>
        <v>0.25501099999999999</v>
      </c>
      <c r="D9" s="47"/>
      <c r="E9" s="48"/>
      <c r="F9" s="49"/>
      <c r="G9" s="48"/>
      <c r="H9" s="49"/>
      <c r="I9" s="50"/>
      <c r="J9" s="6">
        <f>A11</f>
        <v>700</v>
      </c>
      <c r="K9">
        <v>0</v>
      </c>
      <c r="L9">
        <v>0</v>
      </c>
      <c r="M9">
        <v>0</v>
      </c>
      <c r="AA9" s="157">
        <f>A9</f>
        <v>0</v>
      </c>
      <c r="AB9" s="158">
        <f>O4</f>
        <v>0</v>
      </c>
      <c r="AC9" s="159">
        <f>U4</f>
        <v>0</v>
      </c>
      <c r="AD9" s="160">
        <f>AA4</f>
        <v>0</v>
      </c>
    </row>
    <row r="10" spans="1:32" x14ac:dyDescent="0.25">
      <c r="A10" s="51">
        <f>(A9+A11)/2</f>
        <v>350</v>
      </c>
      <c r="B10" s="8">
        <f t="shared" ref="B10:B21" si="0">$O$3+$P$3*A10+$Q$3*A10^2+$R$3*A10^3+$S$3*A10^4+$T$3*A10^5</f>
        <v>34.024158746931249</v>
      </c>
      <c r="C10" s="55">
        <f t="shared" ref="C10:C21" si="1">$U$3+$V$3*A10+$W$3*A10^2+$X$3*A10^3+$Y$3*A10^4+$Z$3*A10^5</f>
        <v>0.29064644929765621</v>
      </c>
      <c r="D10" s="51"/>
      <c r="E10" s="8"/>
      <c r="F10" s="7"/>
      <c r="G10" s="8"/>
      <c r="H10" s="7"/>
      <c r="I10" s="52"/>
      <c r="J10" s="6">
        <f>A11</f>
        <v>700</v>
      </c>
      <c r="K10">
        <v>40</v>
      </c>
      <c r="L10">
        <v>0.7</v>
      </c>
      <c r="M10">
        <v>70</v>
      </c>
      <c r="AA10" s="51">
        <f t="shared" ref="AA10:AA21" si="2">A10</f>
        <v>350</v>
      </c>
      <c r="AB10" s="8">
        <f>$O$4+$P$4*A10+$Q$4*A10^2+$R$4*A10^3+$S$4*A10^4+$T$4*A10^5</f>
        <v>0</v>
      </c>
      <c r="AC10" s="161">
        <f>$U$4+$V$4*AA10+$W$4*AA10^2+$X$4*AA10^3+$Y$4*AA10^4+$Z$4*AA10^5</f>
        <v>0</v>
      </c>
      <c r="AD10" s="162">
        <f>$AA$4+$AB$4*AA10+$AC$4*AA10^2+$AD$4*AA10^3+$AE$4*AA10^4+$AF$4*AA10^5</f>
        <v>0</v>
      </c>
    </row>
    <row r="11" spans="1:32" s="39" customFormat="1" x14ac:dyDescent="0.25">
      <c r="A11" s="61">
        <f>$C$3</f>
        <v>700</v>
      </c>
      <c r="B11" s="41">
        <f t="shared" si="0"/>
        <v>32.470848099800001</v>
      </c>
      <c r="C11" s="54">
        <f t="shared" si="1"/>
        <v>0.33873762042499994</v>
      </c>
      <c r="D11" s="53">
        <f t="shared" ref="D11:D19" si="3">0.95*A11</f>
        <v>665</v>
      </c>
      <c r="E11" s="41">
        <f t="shared" ref="E11:E19" si="4">($O$3+$P$3*D11+$Q$3*D11^2+$R$3*D11^3+$S$3*D11^4+$T$3*D11^5)*1.05</f>
        <v>34.288794150098845</v>
      </c>
      <c r="F11" s="42">
        <f t="shared" ref="F11:F19" si="5">1.05*A11</f>
        <v>735</v>
      </c>
      <c r="G11" s="41">
        <f t="shared" ref="G11:G19" si="6">($O$3+$P$3*F11+$Q$3*F11^2+$R$3*F11^3+$S$3*F11^4+$T$3*F11^5)*0.95</f>
        <v>30.659498613341036</v>
      </c>
      <c r="H11" s="41">
        <f t="shared" ref="H11:H19" si="7">C11*0.92</f>
        <v>0.31163861079099997</v>
      </c>
      <c r="I11" s="54">
        <f t="shared" ref="I11:I19" si="8">1.08*C11</f>
        <v>0.36583663005899997</v>
      </c>
      <c r="J11" s="130" t="s">
        <v>96</v>
      </c>
      <c r="K11" s="130"/>
      <c r="L11" s="130"/>
      <c r="M11" s="130"/>
      <c r="N11" s="130"/>
      <c r="Q11" s="40"/>
      <c r="R11" s="40"/>
      <c r="S11" s="40"/>
      <c r="T11" s="40"/>
      <c r="AA11" s="51">
        <f t="shared" si="2"/>
        <v>700</v>
      </c>
      <c r="AB11" s="8">
        <f t="shared" ref="AB11:AB21" si="9">$O$4+$P$4*A11+$Q$4*A11^2+$R$4*A11^3+$S$4*A11^4+$T$4*A11^5</f>
        <v>0</v>
      </c>
      <c r="AC11" s="161">
        <f t="shared" ref="AC11:AC21" si="10">$U$4+$V$4*AA11+$W$4*AA11^2+$X$4*AA11^3+$Y$4*AA11^4+$Z$4*AA11^5</f>
        <v>0</v>
      </c>
      <c r="AD11" s="162">
        <f t="shared" ref="AD11:AD21" si="11">$AA$4+$AB$4*AA11+$AC$4*AA11^2+$AD$4*AA11^3+$AE$4*AA11^4+$AF$4*AA11^5</f>
        <v>0</v>
      </c>
    </row>
    <row r="12" spans="1:32" x14ac:dyDescent="0.25">
      <c r="A12" s="51">
        <f>(A11+A13)/2</f>
        <v>825</v>
      </c>
      <c r="B12" s="8">
        <f t="shared" si="0"/>
        <v>31.689462103857611</v>
      </c>
      <c r="C12" s="55">
        <f t="shared" si="1"/>
        <v>0.35255181358210447</v>
      </c>
      <c r="D12" s="51">
        <f t="shared" si="3"/>
        <v>783.75</v>
      </c>
      <c r="E12" s="8">
        <f t="shared" si="4"/>
        <v>33.570838087227592</v>
      </c>
      <c r="F12" s="7">
        <f t="shared" si="5"/>
        <v>866.25</v>
      </c>
      <c r="G12" s="8">
        <f t="shared" si="6"/>
        <v>29.807079605037579</v>
      </c>
      <c r="H12" s="8">
        <f t="shared" si="7"/>
        <v>0.32434766849553615</v>
      </c>
      <c r="I12" s="55">
        <f t="shared" si="8"/>
        <v>0.38075595866867284</v>
      </c>
      <c r="J12" s="131">
        <f>A15</f>
        <v>1200</v>
      </c>
      <c r="K12" s="130">
        <v>0</v>
      </c>
      <c r="L12" s="130">
        <v>0</v>
      </c>
      <c r="M12" s="130">
        <v>0</v>
      </c>
      <c r="N12" s="130"/>
      <c r="AA12" s="51">
        <f t="shared" si="2"/>
        <v>825</v>
      </c>
      <c r="AB12" s="8">
        <f t="shared" si="9"/>
        <v>0</v>
      </c>
      <c r="AC12" s="161">
        <f t="shared" si="10"/>
        <v>0</v>
      </c>
      <c r="AD12" s="162">
        <f t="shared" si="11"/>
        <v>0</v>
      </c>
    </row>
    <row r="13" spans="1:32" x14ac:dyDescent="0.25">
      <c r="A13" s="51">
        <f>(A11+A15)/2</f>
        <v>950</v>
      </c>
      <c r="B13" s="8">
        <f t="shared" si="0"/>
        <v>30.623455699956246</v>
      </c>
      <c r="C13" s="55">
        <f t="shared" si="1"/>
        <v>0.36344069891328118</v>
      </c>
      <c r="D13" s="51">
        <f t="shared" si="3"/>
        <v>902.5</v>
      </c>
      <c r="E13" s="8">
        <f t="shared" si="4"/>
        <v>32.624426296334313</v>
      </c>
      <c r="F13" s="7">
        <f t="shared" si="5"/>
        <v>997.5</v>
      </c>
      <c r="G13" s="8">
        <f t="shared" si="6"/>
        <v>28.608632418103369</v>
      </c>
      <c r="H13" s="8">
        <f t="shared" si="7"/>
        <v>0.3343654430002187</v>
      </c>
      <c r="I13" s="55">
        <f t="shared" si="8"/>
        <v>0.39251595482634372</v>
      </c>
      <c r="J13" s="131">
        <f>A15</f>
        <v>1200</v>
      </c>
      <c r="K13" s="130">
        <v>40</v>
      </c>
      <c r="L13" s="130">
        <v>0.7</v>
      </c>
      <c r="M13" s="130">
        <v>70</v>
      </c>
      <c r="N13" s="130"/>
      <c r="AA13" s="51">
        <f t="shared" si="2"/>
        <v>950</v>
      </c>
      <c r="AB13" s="8">
        <f t="shared" si="9"/>
        <v>0</v>
      </c>
      <c r="AC13" s="161">
        <f t="shared" si="10"/>
        <v>0</v>
      </c>
      <c r="AD13" s="162">
        <f t="shared" si="11"/>
        <v>0</v>
      </c>
    </row>
    <row r="14" spans="1:32" x14ac:dyDescent="0.25">
      <c r="A14" s="51">
        <f>(A13+A15)/2</f>
        <v>1075</v>
      </c>
      <c r="B14" s="8">
        <f t="shared" si="0"/>
        <v>29.130005821933786</v>
      </c>
      <c r="C14" s="55">
        <f t="shared" si="1"/>
        <v>0.37117844488166507</v>
      </c>
      <c r="D14" s="51">
        <f t="shared" si="3"/>
        <v>1021.25</v>
      </c>
      <c r="E14" s="8">
        <f t="shared" si="4"/>
        <v>31.325811230879737</v>
      </c>
      <c r="F14" s="7">
        <f t="shared" si="5"/>
        <v>1128.75</v>
      </c>
      <c r="G14" s="8">
        <f t="shared" si="6"/>
        <v>26.903546098432454</v>
      </c>
      <c r="H14" s="8">
        <f t="shared" si="7"/>
        <v>0.3414841692911319</v>
      </c>
      <c r="I14" s="55">
        <f t="shared" si="8"/>
        <v>0.4008727204721983</v>
      </c>
      <c r="J14" s="130" t="s">
        <v>99</v>
      </c>
      <c r="K14" s="130"/>
      <c r="L14" s="130"/>
      <c r="M14" s="130"/>
      <c r="N14" s="130"/>
      <c r="AA14" s="51">
        <f t="shared" si="2"/>
        <v>1075</v>
      </c>
      <c r="AB14" s="8">
        <f t="shared" si="9"/>
        <v>0</v>
      </c>
      <c r="AC14" s="161">
        <f t="shared" si="10"/>
        <v>0</v>
      </c>
      <c r="AD14" s="162">
        <f t="shared" si="11"/>
        <v>0</v>
      </c>
    </row>
    <row r="15" spans="1:32" s="39" customFormat="1" x14ac:dyDescent="0.25">
      <c r="A15" s="61">
        <f>$F$3</f>
        <v>1200</v>
      </c>
      <c r="B15" s="41">
        <f t="shared" si="0"/>
        <v>27.062060604799996</v>
      </c>
      <c r="C15" s="54">
        <f t="shared" si="1"/>
        <v>0.37581834079999993</v>
      </c>
      <c r="D15" s="53">
        <f t="shared" si="3"/>
        <v>1140</v>
      </c>
      <c r="E15" s="41">
        <f t="shared" si="4"/>
        <v>29.542132025608542</v>
      </c>
      <c r="F15" s="42">
        <f t="shared" si="5"/>
        <v>1260</v>
      </c>
      <c r="G15" s="41">
        <f t="shared" si="6"/>
        <v>24.533748216213777</v>
      </c>
      <c r="H15" s="41">
        <f t="shared" si="7"/>
        <v>0.34575287353599993</v>
      </c>
      <c r="I15" s="54">
        <f t="shared" si="8"/>
        <v>0.40588380806399993</v>
      </c>
      <c r="J15" s="131">
        <f>A19</f>
        <v>1700</v>
      </c>
      <c r="K15" s="130">
        <v>0</v>
      </c>
      <c r="L15" s="130">
        <v>0</v>
      </c>
      <c r="M15" s="130">
        <v>0</v>
      </c>
      <c r="N15" s="130"/>
      <c r="Q15" s="40"/>
      <c r="R15" s="40"/>
      <c r="S15" s="40"/>
      <c r="T15" s="40"/>
      <c r="AA15" s="51">
        <f t="shared" si="2"/>
        <v>1200</v>
      </c>
      <c r="AB15" s="8">
        <f t="shared" si="9"/>
        <v>0</v>
      </c>
      <c r="AC15" s="161">
        <f t="shared" si="10"/>
        <v>0</v>
      </c>
      <c r="AD15" s="162">
        <f t="shared" si="11"/>
        <v>0</v>
      </c>
    </row>
    <row r="16" spans="1:32" x14ac:dyDescent="0.25">
      <c r="A16" s="51">
        <f>(A15+A17)/2</f>
        <v>1325</v>
      </c>
      <c r="B16" s="8">
        <f t="shared" si="0"/>
        <v>24.285252983369322</v>
      </c>
      <c r="C16" s="55">
        <f t="shared" si="1"/>
        <v>0.37764609578083502</v>
      </c>
      <c r="D16" s="51">
        <f t="shared" si="3"/>
        <v>1258.75</v>
      </c>
      <c r="E16" s="8">
        <f t="shared" si="4"/>
        <v>27.145156287766291</v>
      </c>
      <c r="F16" s="7">
        <f t="shared" si="5"/>
        <v>1391.25</v>
      </c>
      <c r="G16" s="8">
        <f t="shared" si="6"/>
        <v>21.36421205431725</v>
      </c>
      <c r="H16" s="8">
        <f t="shared" si="7"/>
        <v>0.34743440811836823</v>
      </c>
      <c r="I16" s="55">
        <f t="shared" si="8"/>
        <v>0.40785778344330187</v>
      </c>
      <c r="J16" s="131">
        <f>A19</f>
        <v>1700</v>
      </c>
      <c r="K16" s="130">
        <v>40</v>
      </c>
      <c r="L16" s="130">
        <v>0.7</v>
      </c>
      <c r="M16" s="130">
        <v>70</v>
      </c>
      <c r="N16" s="130"/>
      <c r="AA16" s="51">
        <f t="shared" si="2"/>
        <v>1325</v>
      </c>
      <c r="AB16" s="8">
        <f t="shared" si="9"/>
        <v>0</v>
      </c>
      <c r="AC16" s="161">
        <f t="shared" si="10"/>
        <v>0</v>
      </c>
      <c r="AD16" s="162">
        <f t="shared" si="11"/>
        <v>0</v>
      </c>
    </row>
    <row r="17" spans="1:30" x14ac:dyDescent="0.25">
      <c r="A17" s="51">
        <f>(A15+A19)/2</f>
        <v>1450</v>
      </c>
      <c r="B17" s="8">
        <f t="shared" si="0"/>
        <v>20.694814290893756</v>
      </c>
      <c r="C17" s="55">
        <f t="shared" si="1"/>
        <v>0.37713313768671869</v>
      </c>
      <c r="D17" s="51">
        <f t="shared" si="3"/>
        <v>1377.5</v>
      </c>
      <c r="E17" s="8">
        <f t="shared" si="4"/>
        <v>24.025021888316367</v>
      </c>
      <c r="F17" s="7">
        <f t="shared" si="5"/>
        <v>1522.5</v>
      </c>
      <c r="G17" s="8">
        <f t="shared" si="6"/>
        <v>17.303463796679726</v>
      </c>
      <c r="H17" s="8">
        <f t="shared" si="7"/>
        <v>0.3469624866717812</v>
      </c>
      <c r="I17" s="55">
        <f t="shared" si="8"/>
        <v>0.40730378870165623</v>
      </c>
      <c r="J17" s="130"/>
      <c r="K17" s="130"/>
      <c r="L17" s="130"/>
      <c r="M17" s="130"/>
      <c r="N17" s="130"/>
      <c r="AA17" s="51">
        <f t="shared" si="2"/>
        <v>1450</v>
      </c>
      <c r="AB17" s="8">
        <f t="shared" si="9"/>
        <v>0</v>
      </c>
      <c r="AC17" s="161">
        <f t="shared" si="10"/>
        <v>0</v>
      </c>
      <c r="AD17" s="162">
        <f t="shared" si="11"/>
        <v>0</v>
      </c>
    </row>
    <row r="18" spans="1:30" x14ac:dyDescent="0.25">
      <c r="A18" s="51">
        <f>(A17+A19)/2</f>
        <v>1575</v>
      </c>
      <c r="B18" s="8">
        <f t="shared" si="0"/>
        <v>16.232487857695538</v>
      </c>
      <c r="C18" s="55">
        <f t="shared" si="1"/>
        <v>0.37488991208039563</v>
      </c>
      <c r="D18" s="51">
        <f t="shared" si="3"/>
        <v>1496.25</v>
      </c>
      <c r="E18" s="8">
        <f t="shared" si="4"/>
        <v>20.103978753156863</v>
      </c>
      <c r="F18" s="7">
        <f t="shared" si="5"/>
        <v>1653.75</v>
      </c>
      <c r="G18" s="8">
        <f t="shared" si="6"/>
        <v>12.324089716691173</v>
      </c>
      <c r="H18" s="8">
        <f t="shared" si="7"/>
        <v>0.34489871911396397</v>
      </c>
      <c r="I18" s="55">
        <f t="shared" si="8"/>
        <v>0.40488110504682728</v>
      </c>
      <c r="J18" s="130"/>
      <c r="K18" s="130"/>
      <c r="L18" s="130"/>
      <c r="M18" s="130"/>
      <c r="N18" s="130"/>
      <c r="AA18" s="51">
        <f t="shared" si="2"/>
        <v>1575</v>
      </c>
      <c r="AB18" s="8">
        <f t="shared" si="9"/>
        <v>0</v>
      </c>
      <c r="AC18" s="161">
        <f t="shared" si="10"/>
        <v>0</v>
      </c>
      <c r="AD18" s="162">
        <f t="shared" si="11"/>
        <v>0</v>
      </c>
    </row>
    <row r="19" spans="1:30" s="39" customFormat="1" x14ac:dyDescent="0.25">
      <c r="A19" s="61">
        <f>$J$3</f>
        <v>1700</v>
      </c>
      <c r="B19" s="41">
        <f t="shared" si="0"/>
        <v>10.90344260980001</v>
      </c>
      <c r="C19" s="54">
        <f t="shared" si="1"/>
        <v>0.37161918117500009</v>
      </c>
      <c r="D19" s="53">
        <f t="shared" si="3"/>
        <v>1615</v>
      </c>
      <c r="E19" s="41">
        <f t="shared" si="4"/>
        <v>15.350130654337521</v>
      </c>
      <c r="F19" s="42">
        <f t="shared" si="5"/>
        <v>1785</v>
      </c>
      <c r="G19" s="41">
        <f t="shared" si="6"/>
        <v>6.4832433655806634</v>
      </c>
      <c r="H19" s="41">
        <f t="shared" si="7"/>
        <v>0.34188964668100008</v>
      </c>
      <c r="I19" s="54">
        <f t="shared" si="8"/>
        <v>0.4013487156690001</v>
      </c>
      <c r="J19" s="130"/>
      <c r="K19" s="130"/>
      <c r="L19" s="130"/>
      <c r="M19" s="130"/>
      <c r="N19" s="130"/>
      <c r="Q19" s="40"/>
      <c r="R19" s="40"/>
      <c r="S19" s="40"/>
      <c r="T19" s="40"/>
      <c r="AA19" s="51">
        <f t="shared" si="2"/>
        <v>1700</v>
      </c>
      <c r="AB19" s="8">
        <f t="shared" si="9"/>
        <v>0</v>
      </c>
      <c r="AC19" s="161">
        <f t="shared" si="10"/>
        <v>0</v>
      </c>
      <c r="AD19" s="162">
        <f t="shared" si="11"/>
        <v>0</v>
      </c>
    </row>
    <row r="20" spans="1:30" x14ac:dyDescent="0.25">
      <c r="A20" s="51">
        <f>(A19+A21)/2</f>
        <v>1800</v>
      </c>
      <c r="B20" s="8">
        <f t="shared" si="0"/>
        <v>6.0704990191999997</v>
      </c>
      <c r="C20" s="55">
        <f t="shared" si="1"/>
        <v>0.3687653623999998</v>
      </c>
      <c r="D20" s="51"/>
      <c r="E20" s="8"/>
      <c r="F20" s="7"/>
      <c r="G20" s="8"/>
      <c r="H20" s="7"/>
      <c r="I20" s="52"/>
      <c r="AA20" s="51">
        <f t="shared" si="2"/>
        <v>1800</v>
      </c>
      <c r="AB20" s="8">
        <f t="shared" si="9"/>
        <v>0</v>
      </c>
      <c r="AC20" s="161">
        <f t="shared" si="10"/>
        <v>0</v>
      </c>
      <c r="AD20" s="162">
        <f t="shared" si="11"/>
        <v>0</v>
      </c>
    </row>
    <row r="21" spans="1:30" ht="13.2" thickBot="1" x14ac:dyDescent="0.3">
      <c r="A21" s="56">
        <f>$N$3</f>
        <v>1900</v>
      </c>
      <c r="B21" s="57">
        <f t="shared" si="0"/>
        <v>0.82352819660003718</v>
      </c>
      <c r="C21" s="62">
        <f t="shared" si="1"/>
        <v>0.36611774412499992</v>
      </c>
      <c r="D21" s="56"/>
      <c r="E21" s="57"/>
      <c r="F21" s="58"/>
      <c r="G21" s="57"/>
      <c r="H21" s="58"/>
      <c r="I21" s="59"/>
      <c r="AA21" s="56">
        <f t="shared" si="2"/>
        <v>1900</v>
      </c>
      <c r="AB21" s="57">
        <f t="shared" si="9"/>
        <v>0</v>
      </c>
      <c r="AC21" s="163">
        <f t="shared" si="10"/>
        <v>0</v>
      </c>
      <c r="AD21" s="164">
        <f t="shared" si="11"/>
        <v>0</v>
      </c>
    </row>
    <row r="49" spans="1:32" ht="13.2" x14ac:dyDescent="0.25">
      <c r="X49" s="441"/>
      <c r="Y49" s="441"/>
    </row>
    <row r="50" spans="1:32" ht="13.2" thickBot="1" x14ac:dyDescent="0.3">
      <c r="X50" s="124"/>
      <c r="Y50" s="125"/>
    </row>
    <row r="51" spans="1:32" ht="13.2" thickBot="1" x14ac:dyDescent="0.3">
      <c r="A51" s="476" t="s">
        <v>164</v>
      </c>
      <c r="B51" s="477"/>
      <c r="C51" s="477"/>
      <c r="D51" s="477"/>
      <c r="E51" s="477"/>
      <c r="F51" s="477"/>
      <c r="G51" s="449"/>
      <c r="H51" s="449"/>
      <c r="I51" s="449"/>
      <c r="J51" s="449"/>
      <c r="K51" s="449"/>
      <c r="L51" s="450"/>
      <c r="M51" s="69"/>
      <c r="X51" s="124"/>
      <c r="Y51" s="125"/>
    </row>
    <row r="52" spans="1:32" x14ac:dyDescent="0.25">
      <c r="A52" s="74" t="s">
        <v>2</v>
      </c>
      <c r="B52" s="75" t="s">
        <v>3</v>
      </c>
      <c r="C52" s="75" t="s">
        <v>4</v>
      </c>
      <c r="D52" s="75" t="s">
        <v>5</v>
      </c>
      <c r="E52" s="75" t="s">
        <v>6</v>
      </c>
      <c r="F52" s="76" t="s">
        <v>7</v>
      </c>
      <c r="G52" s="247" t="s">
        <v>8</v>
      </c>
      <c r="H52" s="75" t="s">
        <v>9</v>
      </c>
      <c r="I52" s="75" t="s">
        <v>10</v>
      </c>
      <c r="J52" s="75" t="s">
        <v>11</v>
      </c>
      <c r="K52" s="75" t="s">
        <v>12</v>
      </c>
      <c r="L52" s="76" t="s">
        <v>13</v>
      </c>
      <c r="M52" s="87"/>
      <c r="O52" s="243"/>
      <c r="X52" s="124"/>
      <c r="Y52" s="125"/>
    </row>
    <row r="53" spans="1:32" ht="13.2" thickBot="1" x14ac:dyDescent="0.3">
      <c r="A53" s="249">
        <v>36.152349999999998</v>
      </c>
      <c r="B53" s="250">
        <v>-3.2961209999999999E-3</v>
      </c>
      <c r="C53" s="250">
        <v>1.856065E-5</v>
      </c>
      <c r="D53" s="250">
        <v>-2.7407259999999999E-8</v>
      </c>
      <c r="E53" s="250">
        <v>1.083283E-11</v>
      </c>
      <c r="F53" s="251">
        <v>-1.65719E-15</v>
      </c>
      <c r="G53" s="248">
        <v>0.2451998</v>
      </c>
      <c r="H53" s="206">
        <v>1.509628E-5</v>
      </c>
      <c r="I53" s="206">
        <v>5.6647879999999996E-7</v>
      </c>
      <c r="J53" s="206">
        <v>-6.3997010000000005E-10</v>
      </c>
      <c r="K53" s="206">
        <v>2.634381E-13</v>
      </c>
      <c r="L53" s="207">
        <v>-3.520485E-17</v>
      </c>
      <c r="M53" s="83"/>
      <c r="X53" s="124"/>
      <c r="Y53" s="125"/>
    </row>
    <row r="54" spans="1:32" x14ac:dyDescent="0.25">
      <c r="X54" s="126"/>
      <c r="Y54" s="125"/>
    </row>
    <row r="55" spans="1:32" ht="13.2" thickBot="1" x14ac:dyDescent="0.3"/>
    <row r="56" spans="1:32" ht="13.2" thickBot="1" x14ac:dyDescent="0.3">
      <c r="A56" s="458" t="s">
        <v>150</v>
      </c>
      <c r="B56" s="459"/>
      <c r="C56" s="172">
        <v>1</v>
      </c>
      <c r="D56" s="456" t="s">
        <v>149</v>
      </c>
      <c r="E56" s="457"/>
      <c r="F56" s="457"/>
      <c r="G56" s="172">
        <v>54</v>
      </c>
      <c r="H56" s="445" t="s">
        <v>88</v>
      </c>
      <c r="I56" s="446"/>
      <c r="J56" s="446"/>
      <c r="K56" s="460"/>
      <c r="L56" s="460"/>
      <c r="M56" s="460"/>
      <c r="N56" s="460"/>
      <c r="O56" s="460"/>
      <c r="P56" s="461"/>
      <c r="Q56" s="451" t="s">
        <v>76</v>
      </c>
      <c r="R56" s="452"/>
      <c r="S56" s="453"/>
      <c r="T56" s="445" t="s">
        <v>90</v>
      </c>
      <c r="U56" s="446"/>
      <c r="V56" s="446"/>
      <c r="W56" s="454"/>
      <c r="AA56" s="3"/>
      <c r="AB56" s="3"/>
      <c r="AC56" s="3"/>
      <c r="AD56" s="3"/>
    </row>
    <row r="57" spans="1:32" ht="13.2" thickBot="1" x14ac:dyDescent="0.3">
      <c r="A57" s="448" t="s">
        <v>148</v>
      </c>
      <c r="B57" s="449"/>
      <c r="C57" s="449"/>
      <c r="D57" s="449"/>
      <c r="E57" s="449"/>
      <c r="F57" s="449"/>
      <c r="G57" s="450"/>
      <c r="H57" s="445" t="s">
        <v>190</v>
      </c>
      <c r="I57" s="455"/>
      <c r="J57" s="455"/>
      <c r="K57" s="460"/>
      <c r="L57" s="460"/>
      <c r="M57" s="460"/>
      <c r="N57" s="460"/>
      <c r="O57" s="460"/>
      <c r="P57" s="461"/>
      <c r="Q57" s="445" t="s">
        <v>87</v>
      </c>
      <c r="R57" s="455"/>
      <c r="S57" s="454"/>
      <c r="T57" s="445" t="s">
        <v>87</v>
      </c>
      <c r="U57" s="455"/>
      <c r="V57" s="455"/>
      <c r="W57" s="454"/>
      <c r="X57" s="445" t="s">
        <v>77</v>
      </c>
      <c r="Y57" s="446"/>
      <c r="Z57" s="446"/>
      <c r="AA57" s="446"/>
      <c r="AB57" s="447"/>
      <c r="AC57" s="3"/>
      <c r="AD57" s="3"/>
    </row>
    <row r="58" spans="1:32" x14ac:dyDescent="0.25">
      <c r="A58" s="47" t="s">
        <v>139</v>
      </c>
      <c r="B58" s="36" t="s">
        <v>70</v>
      </c>
      <c r="C58" s="36" t="s">
        <v>142</v>
      </c>
      <c r="D58" s="36" t="s">
        <v>144</v>
      </c>
      <c r="E58" s="165" t="s">
        <v>151</v>
      </c>
      <c r="F58" s="165" t="s">
        <v>146</v>
      </c>
      <c r="G58" s="155" t="s">
        <v>147</v>
      </c>
      <c r="H58" s="43" t="s">
        <v>153</v>
      </c>
      <c r="I58" s="165" t="s">
        <v>154</v>
      </c>
      <c r="J58" s="155" t="s">
        <v>155</v>
      </c>
      <c r="K58" s="43" t="s">
        <v>156</v>
      </c>
      <c r="L58" s="165" t="s">
        <v>157</v>
      </c>
      <c r="M58" s="179" t="s">
        <v>158</v>
      </c>
      <c r="N58" s="43" t="s">
        <v>160</v>
      </c>
      <c r="O58" s="165" t="s">
        <v>161</v>
      </c>
      <c r="P58" s="155" t="s">
        <v>162</v>
      </c>
      <c r="Q58" s="43" t="s">
        <v>70</v>
      </c>
      <c r="R58" s="36" t="s">
        <v>72</v>
      </c>
      <c r="S58" s="37" t="s">
        <v>74</v>
      </c>
      <c r="T58" s="43" t="s">
        <v>70</v>
      </c>
      <c r="U58" s="36" t="s">
        <v>72</v>
      </c>
      <c r="V58" s="36" t="s">
        <v>74</v>
      </c>
      <c r="W58" s="37" t="s">
        <v>93</v>
      </c>
      <c r="X58" s="88" t="s">
        <v>81</v>
      </c>
      <c r="Y58" s="80" t="s">
        <v>79</v>
      </c>
      <c r="Z58" s="80" t="s">
        <v>82</v>
      </c>
      <c r="AA58" s="81" t="s">
        <v>83</v>
      </c>
      <c r="AB58" s="96" t="s">
        <v>91</v>
      </c>
      <c r="AC58" s="442" t="s">
        <v>94</v>
      </c>
      <c r="AD58" s="443"/>
      <c r="AE58" s="444"/>
    </row>
    <row r="59" spans="1:32" ht="13.2" thickBot="1" x14ac:dyDescent="0.3">
      <c r="A59" s="44" t="s">
        <v>141</v>
      </c>
      <c r="B59" s="45" t="s">
        <v>140</v>
      </c>
      <c r="C59" s="45" t="s">
        <v>143</v>
      </c>
      <c r="D59" s="45" t="s">
        <v>145</v>
      </c>
      <c r="E59" s="176" t="s">
        <v>89</v>
      </c>
      <c r="F59" s="176" t="s">
        <v>89</v>
      </c>
      <c r="G59" s="59" t="s">
        <v>152</v>
      </c>
      <c r="H59" s="44" t="s">
        <v>71</v>
      </c>
      <c r="I59" s="176" t="s">
        <v>71</v>
      </c>
      <c r="J59" s="59" t="s">
        <v>163</v>
      </c>
      <c r="K59" s="44" t="s">
        <v>73</v>
      </c>
      <c r="L59" s="176" t="s">
        <v>73</v>
      </c>
      <c r="M59" s="180" t="s">
        <v>163</v>
      </c>
      <c r="N59" s="44" t="s">
        <v>159</v>
      </c>
      <c r="O59" s="176" t="s">
        <v>159</v>
      </c>
      <c r="P59" s="59" t="s">
        <v>163</v>
      </c>
      <c r="Q59" s="44" t="s">
        <v>71</v>
      </c>
      <c r="R59" s="45" t="s">
        <v>73</v>
      </c>
      <c r="S59" s="46" t="s">
        <v>75</v>
      </c>
      <c r="T59" s="44" t="s">
        <v>71</v>
      </c>
      <c r="U59" s="45" t="s">
        <v>73</v>
      </c>
      <c r="V59" s="45" t="s">
        <v>75</v>
      </c>
      <c r="W59" s="46" t="s">
        <v>92</v>
      </c>
      <c r="X59" s="89" t="s">
        <v>73</v>
      </c>
      <c r="Y59" s="45" t="s">
        <v>73</v>
      </c>
      <c r="Z59" s="45" t="s">
        <v>75</v>
      </c>
      <c r="AA59" s="68" t="s">
        <v>75</v>
      </c>
      <c r="AB59" s="95" t="s">
        <v>92</v>
      </c>
      <c r="AC59" s="44" t="s">
        <v>72</v>
      </c>
      <c r="AD59" s="45" t="s">
        <v>74</v>
      </c>
      <c r="AE59" s="46" t="s">
        <v>93</v>
      </c>
    </row>
    <row r="60" spans="1:32" x14ac:dyDescent="0.25">
      <c r="A60" s="181">
        <v>4.3890000000000002</v>
      </c>
      <c r="B60" s="174">
        <v>4.1399999999999997</v>
      </c>
      <c r="C60" s="175">
        <v>2997</v>
      </c>
      <c r="D60" s="174">
        <v>19.84</v>
      </c>
      <c r="E60" s="245">
        <f>ROUND(C60*D60/9549,3)</f>
        <v>6.2270000000000003</v>
      </c>
      <c r="F60" s="173">
        <v>6.2240000000000002</v>
      </c>
      <c r="G60" s="184" t="str">
        <f>IF(OR(E60-F60&gt;0.001*F60,E60-F60&lt;(-0.001)*F60),"ALARM","OK")</f>
        <v>OK</v>
      </c>
      <c r="H60" s="188">
        <f>ROUNDUP((B60*6.28981)*(3500/C60),1)</f>
        <v>30.5</v>
      </c>
      <c r="I60" s="191">
        <v>30.41</v>
      </c>
      <c r="J60" s="204" t="str">
        <f>IF(OR(H60-I60&gt;0.005*I60,H60-I60&lt;(-0.005)*I60),"ALARM","OK")</f>
        <v>OK</v>
      </c>
      <c r="K60" s="240">
        <f>ROUNDUP(((A60-0.1396)*(1000/9.8)*$C$56*3.28/$G$56)*(3500/C60)^2,2)</f>
        <v>35.93</v>
      </c>
      <c r="L60" s="174">
        <f>1947.71/54</f>
        <v>36.068703703703704</v>
      </c>
      <c r="M60" s="239" t="str">
        <f t="shared" ref="M60:M67" si="12">IF(OR(K60-L60&gt;0.005*L60,K60-L60&lt;(-0.005)*L60),"ALARM","OK")</f>
        <v>OK</v>
      </c>
      <c r="N60" s="198">
        <f>ROUNDUP((F60/(0.746*$G$56))*(3500/C60)^3,3)</f>
        <v>0.247</v>
      </c>
      <c r="O60" s="173">
        <f>13.293/54</f>
        <v>0.24616666666666664</v>
      </c>
      <c r="P60" s="184" t="str">
        <f t="shared" ref="P60:P67" si="13">IF(OR(N60-O60&gt;0.005*O60,N60-O60&lt;(-0.005)*O60),"ALARM","OK")</f>
        <v>OK</v>
      </c>
      <c r="Q60" s="47">
        <v>0</v>
      </c>
      <c r="R60" s="48">
        <f>B9</f>
        <v>34.578919999999997</v>
      </c>
      <c r="S60" s="60">
        <f>C9</f>
        <v>0.25501099999999999</v>
      </c>
      <c r="T60" s="47">
        <v>0</v>
      </c>
      <c r="U60" s="48">
        <f>A53</f>
        <v>36.152349999999998</v>
      </c>
      <c r="V60" s="48">
        <f>G53</f>
        <v>0.2451998</v>
      </c>
      <c r="W60" s="91"/>
      <c r="X60" s="117"/>
      <c r="Y60" s="114"/>
      <c r="Z60" s="114"/>
      <c r="AA60" s="109"/>
      <c r="AB60" s="82"/>
      <c r="AC60" s="103"/>
      <c r="AD60" s="106"/>
      <c r="AE60" s="97"/>
    </row>
    <row r="61" spans="1:32" x14ac:dyDescent="0.25">
      <c r="A61" s="182">
        <v>4.1859999999999999</v>
      </c>
      <c r="B61" s="167">
        <v>121.03</v>
      </c>
      <c r="C61" s="168">
        <v>2994.6</v>
      </c>
      <c r="D61" s="167">
        <v>32.299999999999997</v>
      </c>
      <c r="E61" s="246">
        <f t="shared" ref="E61:E67" si="14">ROUND(C61*D61/9549,3)</f>
        <v>10.129</v>
      </c>
      <c r="F61" s="166">
        <v>10.124000000000001</v>
      </c>
      <c r="G61" s="185" t="str">
        <f t="shared" ref="G61:G67" si="15">IF(OR(E61-F61&gt;0.001*F61,E61-F61&lt;(-0.001)*F61),"ALARM","OK")</f>
        <v>OK</v>
      </c>
      <c r="H61" s="189">
        <f t="shared" ref="H61:H67" si="16">ROUNDUP((B61*6.28981)*(3500/C61),1)</f>
        <v>889.80000000000007</v>
      </c>
      <c r="I61" s="167">
        <v>889.76</v>
      </c>
      <c r="J61" s="185" t="str">
        <f t="shared" ref="J61:J67" si="17">IF(OR(H61-I61&gt;0.005*I61,H61-I61&lt;(-0.005)*I61),"ALARM","OK")</f>
        <v>OK</v>
      </c>
      <c r="K61" s="241">
        <f>ROUNDUP(((A61-0.136)*(1000/9.8)*$C$56*3.28/$G$56)*(3500/C61)^2,2)</f>
        <v>34.29</v>
      </c>
      <c r="L61" s="167">
        <f>1859.93/54</f>
        <v>34.443148148148147</v>
      </c>
      <c r="M61" s="244" t="str">
        <f t="shared" si="12"/>
        <v>OK</v>
      </c>
      <c r="N61" s="199">
        <f t="shared" ref="N61:N67" si="18">ROUNDUP((F61/(0.746*$G$56))*(3500/C61)^3,3)</f>
        <v>0.40200000000000002</v>
      </c>
      <c r="O61" s="166">
        <f>21.68/54</f>
        <v>0.40148148148148149</v>
      </c>
      <c r="P61" s="185" t="str">
        <f t="shared" si="13"/>
        <v>OK</v>
      </c>
      <c r="Q61" s="51">
        <f>(Q60+Q62)/2</f>
        <v>350</v>
      </c>
      <c r="R61" s="8">
        <f t="shared" ref="R61:R72" si="19">$O$3+$P$3*Q61+$Q$3*Q61^2+$R$3*Q61^3+$S$3*Q61^4+$T$3*Q61^5</f>
        <v>34.024158746931249</v>
      </c>
      <c r="S61" s="55">
        <f t="shared" ref="S61:S72" si="20">$U$3+$V$3*Q61+$W$3*Q61^2+$X$3*Q61^3+$Y$3*Q61^4+$Z$3*Q61^5</f>
        <v>0.29064644929765621</v>
      </c>
      <c r="T61" s="51">
        <f>(T60+T62)/2</f>
        <v>350</v>
      </c>
      <c r="U61" s="8">
        <f t="shared" ref="U61:U72" si="21">$A$53+$B$53*T61+$C$53*T61^2+$D$53*T61^3+$E$53*T61^4+$F$53*T61^5</f>
        <v>36.251157285084368</v>
      </c>
      <c r="V61" s="8">
        <f t="shared" ref="V61:V72" si="22">$G$53+$H$53*T61+$I$53*T61^2+$J$53*T61^3+$K$53*T61^4+$L$53*T61^5</f>
        <v>0.2962067484775156</v>
      </c>
      <c r="W61" s="92"/>
      <c r="X61" s="118"/>
      <c r="Y61" s="115"/>
      <c r="Z61" s="115"/>
      <c r="AA61" s="110"/>
      <c r="AB61" s="83"/>
      <c r="AC61" s="104"/>
      <c r="AD61" s="107"/>
      <c r="AE61" s="98"/>
    </row>
    <row r="62" spans="1:32" x14ac:dyDescent="0.25">
      <c r="A62" s="182">
        <v>3.9140000000000001</v>
      </c>
      <c r="B62" s="167">
        <v>147.28</v>
      </c>
      <c r="C62" s="168">
        <v>2995.9</v>
      </c>
      <c r="D62" s="167">
        <v>34.17</v>
      </c>
      <c r="E62" s="246">
        <f t="shared" si="14"/>
        <v>10.72</v>
      </c>
      <c r="F62" s="166">
        <v>10.715999999999999</v>
      </c>
      <c r="G62" s="185" t="str">
        <f t="shared" si="15"/>
        <v>OK</v>
      </c>
      <c r="H62" s="190">
        <f t="shared" si="16"/>
        <v>1082.3</v>
      </c>
      <c r="I62" s="167">
        <v>1082.22</v>
      </c>
      <c r="J62" s="185" t="str">
        <f t="shared" si="17"/>
        <v>OK</v>
      </c>
      <c r="K62" s="242">
        <f>ROUNDUP(((A62-0.1356)*(1000/9.8)*$C$56*3.28/$G$56)*(3500/C62)^2,2)</f>
        <v>31.970000000000002</v>
      </c>
      <c r="L62" s="167">
        <f>1734.19/54</f>
        <v>32.114629629629633</v>
      </c>
      <c r="M62" s="244" t="str">
        <f t="shared" si="12"/>
        <v>OK</v>
      </c>
      <c r="N62" s="200">
        <f t="shared" si="18"/>
        <v>0.42499999999999999</v>
      </c>
      <c r="O62" s="166">
        <f>22.914/54</f>
        <v>0.42433333333333334</v>
      </c>
      <c r="P62" s="185" t="str">
        <f t="shared" si="13"/>
        <v>OK</v>
      </c>
      <c r="Q62" s="61">
        <f>$C$3</f>
        <v>700</v>
      </c>
      <c r="R62" s="41">
        <f t="shared" si="19"/>
        <v>32.470848099800001</v>
      </c>
      <c r="S62" s="54">
        <f t="shared" si="20"/>
        <v>0.33873762042499994</v>
      </c>
      <c r="T62" s="61">
        <f>$C$3</f>
        <v>700</v>
      </c>
      <c r="U62" s="41">
        <f t="shared" si="21"/>
        <v>35.861532179700006</v>
      </c>
      <c r="V62" s="41">
        <f t="shared" si="22"/>
        <v>0.37116667237049994</v>
      </c>
      <c r="W62" s="94">
        <f t="shared" ref="W62:W70" si="23">(T62*U62*100)/(135788*V62)</f>
        <v>49.807703241300217</v>
      </c>
      <c r="X62" s="84">
        <f t="shared" ref="X62:X70" si="24">E11</f>
        <v>34.288794150098845</v>
      </c>
      <c r="Y62" s="112">
        <f t="shared" ref="Y62:AA70" si="25">G11</f>
        <v>30.659498613341036</v>
      </c>
      <c r="Z62" s="112">
        <f t="shared" si="25"/>
        <v>0.31163861079099997</v>
      </c>
      <c r="AA62" s="112">
        <f t="shared" si="25"/>
        <v>0.36583663005899997</v>
      </c>
      <c r="AB62" s="83"/>
      <c r="AC62" s="120" t="str">
        <f t="shared" ref="AC62:AC70" si="26">IF(OR(U62&gt;X62,U62&lt;Y62),"FAIL","PASS")</f>
        <v>FAIL</v>
      </c>
      <c r="AD62" s="121" t="str">
        <f t="shared" ref="AD62:AD70" si="27">IF(OR(V62&gt;AA62,V62&lt;Z62),"FAIL","PASS")</f>
        <v>FAIL</v>
      </c>
      <c r="AE62" s="101"/>
      <c r="AF62" s="123" t="s">
        <v>95</v>
      </c>
    </row>
    <row r="63" spans="1:32" x14ac:dyDescent="0.25">
      <c r="A63" s="182">
        <v>3.6309999999999998</v>
      </c>
      <c r="B63" s="167">
        <v>163.55000000000001</v>
      </c>
      <c r="C63" s="168">
        <v>2995</v>
      </c>
      <c r="D63" s="167">
        <v>34.65</v>
      </c>
      <c r="E63" s="246">
        <f t="shared" si="14"/>
        <v>10.868</v>
      </c>
      <c r="F63" s="166">
        <v>10.865</v>
      </c>
      <c r="G63" s="185" t="str">
        <f t="shared" si="15"/>
        <v>OK</v>
      </c>
      <c r="H63" s="189">
        <f t="shared" si="16"/>
        <v>1202.1999999999998</v>
      </c>
      <c r="I63" s="167">
        <v>1202.1500000000001</v>
      </c>
      <c r="J63" s="185" t="str">
        <f t="shared" si="17"/>
        <v>OK</v>
      </c>
      <c r="K63" s="241">
        <f>ROUNDUP(((A63-0.13392)*(1000/9.8)*$C$56*3.28/$G$56)*(3500/C63)^2,2)</f>
        <v>29.610000000000003</v>
      </c>
      <c r="L63" s="167">
        <f>1606.82/54</f>
        <v>29.755925925925926</v>
      </c>
      <c r="M63" s="244" t="str">
        <f t="shared" si="12"/>
        <v>OK</v>
      </c>
      <c r="N63" s="201">
        <f t="shared" si="18"/>
        <v>0.43099999999999999</v>
      </c>
      <c r="O63" s="166">
        <f>23.253/54</f>
        <v>0.43061111111111111</v>
      </c>
      <c r="P63" s="185" t="str">
        <f t="shared" si="13"/>
        <v>OK</v>
      </c>
      <c r="Q63" s="51">
        <f>(Q62+Q64)/2</f>
        <v>825</v>
      </c>
      <c r="R63" s="8">
        <f t="shared" si="19"/>
        <v>31.689462103857611</v>
      </c>
      <c r="S63" s="55">
        <f t="shared" si="20"/>
        <v>0.35255181358210447</v>
      </c>
      <c r="T63" s="51">
        <f>(T62+T64)/2</f>
        <v>825</v>
      </c>
      <c r="U63" s="8">
        <f t="shared" si="21"/>
        <v>35.061253102143844</v>
      </c>
      <c r="V63" s="8">
        <f t="shared" si="22"/>
        <v>0.39244381137331985</v>
      </c>
      <c r="W63" s="127">
        <f t="shared" si="23"/>
        <v>54.280333315092015</v>
      </c>
      <c r="X63" s="85">
        <f t="shared" si="24"/>
        <v>33.570838087227592</v>
      </c>
      <c r="Y63" s="113">
        <f t="shared" si="25"/>
        <v>29.807079605037579</v>
      </c>
      <c r="Z63" s="113">
        <f t="shared" si="25"/>
        <v>0.32434766849553615</v>
      </c>
      <c r="AA63" s="113">
        <f t="shared" si="25"/>
        <v>0.38075595866867284</v>
      </c>
      <c r="AB63" s="83"/>
      <c r="AC63" s="99" t="str">
        <f t="shared" si="26"/>
        <v>FAIL</v>
      </c>
      <c r="AD63" s="100" t="str">
        <f t="shared" si="27"/>
        <v>FAIL</v>
      </c>
      <c r="AE63" s="101"/>
    </row>
    <row r="64" spans="1:32" x14ac:dyDescent="0.25">
      <c r="A64" s="182">
        <v>3.1779999999999999</v>
      </c>
      <c r="B64" s="167">
        <v>186.81</v>
      </c>
      <c r="C64" s="168">
        <v>2993.6</v>
      </c>
      <c r="D64" s="167">
        <v>35.47</v>
      </c>
      <c r="E64" s="246">
        <f t="shared" si="14"/>
        <v>11.12</v>
      </c>
      <c r="F64" s="166">
        <v>11.117000000000001</v>
      </c>
      <c r="G64" s="185" t="str">
        <f t="shared" si="15"/>
        <v>OK</v>
      </c>
      <c r="H64" s="189">
        <f t="shared" si="16"/>
        <v>1373.8</v>
      </c>
      <c r="I64" s="167">
        <v>1373.73</v>
      </c>
      <c r="J64" s="185" t="str">
        <f t="shared" si="17"/>
        <v>OK</v>
      </c>
      <c r="K64" s="241">
        <f>ROUNDUP(((A64-0.13352)*(1000/9.8)*$C$56*3.28/$G$56)*(3500/C64)^2,2)</f>
        <v>25.8</v>
      </c>
      <c r="L64" s="167">
        <f>1401.23/54</f>
        <v>25.948703703703703</v>
      </c>
      <c r="M64" s="197" t="str">
        <f t="shared" si="12"/>
        <v>ALARM</v>
      </c>
      <c r="N64" s="201">
        <f t="shared" si="18"/>
        <v>0.442</v>
      </c>
      <c r="O64" s="166">
        <f>23.825/54</f>
        <v>0.44120370370370371</v>
      </c>
      <c r="P64" s="185" t="str">
        <f t="shared" si="13"/>
        <v>OK</v>
      </c>
      <c r="Q64" s="51">
        <f>(Q62+Q66)/2</f>
        <v>950</v>
      </c>
      <c r="R64" s="8">
        <f t="shared" si="19"/>
        <v>30.623455699956246</v>
      </c>
      <c r="S64" s="55">
        <f t="shared" si="20"/>
        <v>0.36344069891328118</v>
      </c>
      <c r="T64" s="51">
        <f>(T62+T66)/2</f>
        <v>950</v>
      </c>
      <c r="U64" s="8">
        <f t="shared" si="21"/>
        <v>33.814827840871864</v>
      </c>
      <c r="V64" s="8">
        <f t="shared" si="22"/>
        <v>0.40942515561307796</v>
      </c>
      <c r="W64" s="127">
        <f t="shared" si="23"/>
        <v>57.782306216995394</v>
      </c>
      <c r="X64" s="85">
        <f t="shared" si="24"/>
        <v>32.624426296334313</v>
      </c>
      <c r="Y64" s="113">
        <f t="shared" si="25"/>
        <v>28.608632418103369</v>
      </c>
      <c r="Z64" s="113">
        <f t="shared" si="25"/>
        <v>0.3343654430002187</v>
      </c>
      <c r="AA64" s="113">
        <f t="shared" si="25"/>
        <v>0.39251595482634372</v>
      </c>
      <c r="AB64" s="83"/>
      <c r="AC64" s="99" t="str">
        <f t="shared" si="26"/>
        <v>FAIL</v>
      </c>
      <c r="AD64" s="100" t="str">
        <f t="shared" si="27"/>
        <v>FAIL</v>
      </c>
      <c r="AE64" s="101"/>
    </row>
    <row r="65" spans="1:32" x14ac:dyDescent="0.25">
      <c r="A65" s="182">
        <v>2.8519999999999999</v>
      </c>
      <c r="B65" s="167">
        <v>202.72</v>
      </c>
      <c r="C65" s="168">
        <v>2993.7</v>
      </c>
      <c r="D65" s="167">
        <v>36.17</v>
      </c>
      <c r="E65" s="246">
        <f t="shared" si="14"/>
        <v>11.34</v>
      </c>
      <c r="F65" s="166">
        <v>11.335000000000001</v>
      </c>
      <c r="G65" s="185" t="str">
        <f t="shared" si="15"/>
        <v>OK</v>
      </c>
      <c r="H65" s="189">
        <f t="shared" si="16"/>
        <v>1490.8</v>
      </c>
      <c r="I65" s="167">
        <v>1490.7</v>
      </c>
      <c r="J65" s="185" t="str">
        <f t="shared" si="17"/>
        <v>OK</v>
      </c>
      <c r="K65" s="241">
        <f>ROUNDUP(((A65-0.1326)*(1000/9.8)*$C$56*3.28/$G$56)*(3500/C65)^2,2)</f>
        <v>23.040000000000003</v>
      </c>
      <c r="L65" s="167">
        <f>1252.47/54</f>
        <v>23.193888888888889</v>
      </c>
      <c r="M65" s="197" t="str">
        <f t="shared" si="12"/>
        <v>ALARM</v>
      </c>
      <c r="N65" s="201">
        <f t="shared" si="18"/>
        <v>0.45</v>
      </c>
      <c r="O65" s="166">
        <f>24.29/54</f>
        <v>0.44981481481481478</v>
      </c>
      <c r="P65" s="185" t="str">
        <f t="shared" si="13"/>
        <v>OK</v>
      </c>
      <c r="Q65" s="51">
        <f>(Q64+Q66)/2</f>
        <v>1075</v>
      </c>
      <c r="R65" s="8">
        <f t="shared" si="19"/>
        <v>29.130005821933786</v>
      </c>
      <c r="S65" s="55">
        <f t="shared" si="20"/>
        <v>0.37117844488166507</v>
      </c>
      <c r="T65" s="51">
        <f>(T64+T66)/2</f>
        <v>1075</v>
      </c>
      <c r="U65" s="8">
        <f t="shared" si="21"/>
        <v>32.098017238535441</v>
      </c>
      <c r="V65" s="8">
        <f t="shared" si="22"/>
        <v>0.42230484685796316</v>
      </c>
      <c r="W65" s="127">
        <f t="shared" si="23"/>
        <v>60.17266030318271</v>
      </c>
      <c r="X65" s="85">
        <f t="shared" si="24"/>
        <v>31.325811230879737</v>
      </c>
      <c r="Y65" s="113">
        <f t="shared" si="25"/>
        <v>26.903546098432454</v>
      </c>
      <c r="Z65" s="113">
        <f t="shared" si="25"/>
        <v>0.3414841692911319</v>
      </c>
      <c r="AA65" s="113">
        <f t="shared" si="25"/>
        <v>0.4008727204721983</v>
      </c>
      <c r="AB65" s="83"/>
      <c r="AC65" s="99" t="str">
        <f t="shared" si="26"/>
        <v>FAIL</v>
      </c>
      <c r="AD65" s="100" t="str">
        <f t="shared" si="27"/>
        <v>FAIL</v>
      </c>
      <c r="AE65" s="101"/>
    </row>
    <row r="66" spans="1:32" x14ac:dyDescent="0.25">
      <c r="A66" s="182">
        <v>2.3450000000000002</v>
      </c>
      <c r="B66" s="167">
        <v>221.04</v>
      </c>
      <c r="C66" s="168">
        <v>2995</v>
      </c>
      <c r="D66" s="167">
        <v>36.76</v>
      </c>
      <c r="E66" s="246">
        <f t="shared" si="14"/>
        <v>11.53</v>
      </c>
      <c r="F66" s="166">
        <v>11.526999999999999</v>
      </c>
      <c r="G66" s="185" t="str">
        <f t="shared" si="15"/>
        <v>OK</v>
      </c>
      <c r="H66" s="190">
        <f t="shared" si="16"/>
        <v>1624.8</v>
      </c>
      <c r="I66" s="167">
        <v>1624.74</v>
      </c>
      <c r="J66" s="185" t="str">
        <f t="shared" si="17"/>
        <v>OK</v>
      </c>
      <c r="K66" s="242">
        <f>ROUNDUP(((A66-0.13176)*(1000/9.8)*$C$56*3.28/$G$56)*(3500/C66)^2,2)</f>
        <v>18.740000000000002</v>
      </c>
      <c r="L66" s="167">
        <f>1020.14/54</f>
        <v>18.891481481481481</v>
      </c>
      <c r="M66" s="197" t="str">
        <f t="shared" si="12"/>
        <v>ALARM</v>
      </c>
      <c r="N66" s="200">
        <f t="shared" si="18"/>
        <v>0.45700000000000002</v>
      </c>
      <c r="O66" s="166">
        <f>24.669/54</f>
        <v>0.45683333333333337</v>
      </c>
      <c r="P66" s="185" t="str">
        <f t="shared" si="13"/>
        <v>OK</v>
      </c>
      <c r="Q66" s="61">
        <f>$F$3</f>
        <v>1200</v>
      </c>
      <c r="R66" s="41">
        <f t="shared" si="19"/>
        <v>27.062060604799996</v>
      </c>
      <c r="S66" s="54">
        <f t="shared" si="20"/>
        <v>0.37581834079999993</v>
      </c>
      <c r="T66" s="61">
        <f>$F$3</f>
        <v>1200</v>
      </c>
      <c r="U66" s="41">
        <f t="shared" si="21"/>
        <v>29.903932787200006</v>
      </c>
      <c r="V66" s="41">
        <f t="shared" si="22"/>
        <v>0.43184078700799983</v>
      </c>
      <c r="W66" s="94">
        <f t="shared" si="23"/>
        <v>61.196206797099919</v>
      </c>
      <c r="X66" s="84">
        <f t="shared" si="24"/>
        <v>29.542132025608542</v>
      </c>
      <c r="Y66" s="112">
        <f t="shared" si="25"/>
        <v>24.533748216213777</v>
      </c>
      <c r="Z66" s="112">
        <f t="shared" si="25"/>
        <v>0.34575287353599993</v>
      </c>
      <c r="AA66" s="112">
        <f t="shared" si="25"/>
        <v>0.40588380806399993</v>
      </c>
      <c r="AB66" s="90">
        <f>0.9*I3</f>
        <v>57.278896193482765</v>
      </c>
      <c r="AC66" s="120" t="str">
        <f t="shared" si="26"/>
        <v>FAIL</v>
      </c>
      <c r="AD66" s="121" t="str">
        <f t="shared" si="27"/>
        <v>FAIL</v>
      </c>
      <c r="AE66" s="122" t="str">
        <f>IF(W66&lt;AB66,"FAIL","PASS")</f>
        <v>PASS</v>
      </c>
      <c r="AF66" s="123" t="s">
        <v>96</v>
      </c>
    </row>
    <row r="67" spans="1:32" x14ac:dyDescent="0.25">
      <c r="A67" s="182">
        <v>3.2000000000000001E-2</v>
      </c>
      <c r="B67" s="167">
        <v>286.02</v>
      </c>
      <c r="C67" s="168">
        <v>2995.5</v>
      </c>
      <c r="D67" s="167">
        <v>43.02</v>
      </c>
      <c r="E67" s="246">
        <f t="shared" si="14"/>
        <v>13.494999999999999</v>
      </c>
      <c r="F67" s="166">
        <v>13.491</v>
      </c>
      <c r="G67" s="185" t="str">
        <f t="shared" si="15"/>
        <v>OK</v>
      </c>
      <c r="H67" s="189">
        <f t="shared" si="16"/>
        <v>2102</v>
      </c>
      <c r="I67" s="167">
        <v>2102.02</v>
      </c>
      <c r="J67" s="185" t="str">
        <f t="shared" si="17"/>
        <v>OK</v>
      </c>
      <c r="K67" s="241">
        <f>ROUNDUP(((A67-0.03199)*(1000/9.8)*$C$56*3.28/$G$56)*(3500/C67)^2,2)</f>
        <v>0.01</v>
      </c>
      <c r="L67" s="167">
        <f>8.96/54</f>
        <v>0.16592592592592595</v>
      </c>
      <c r="M67" s="197" t="str">
        <f t="shared" si="12"/>
        <v>ALARM</v>
      </c>
      <c r="N67" s="201">
        <f t="shared" si="18"/>
        <v>0.53500000000000003</v>
      </c>
      <c r="O67" s="166">
        <f>28.859/54</f>
        <v>0.53442592592592597</v>
      </c>
      <c r="P67" s="185" t="str">
        <f t="shared" si="13"/>
        <v>OK</v>
      </c>
      <c r="Q67" s="51">
        <f>(Q66+Q68)/2</f>
        <v>1325</v>
      </c>
      <c r="R67" s="8">
        <f t="shared" si="19"/>
        <v>24.285252983369322</v>
      </c>
      <c r="S67" s="55">
        <f t="shared" si="20"/>
        <v>0.37764609578083502</v>
      </c>
      <c r="T67" s="51">
        <f>(T66+T68)/2</f>
        <v>1325</v>
      </c>
      <c r="U67" s="8">
        <f t="shared" si="21"/>
        <v>27.236967817309861</v>
      </c>
      <c r="V67" s="8">
        <f t="shared" si="22"/>
        <v>0.43922571408381783</v>
      </c>
      <c r="W67" s="127">
        <f t="shared" si="23"/>
        <v>60.509767838283224</v>
      </c>
      <c r="X67" s="85">
        <f t="shared" si="24"/>
        <v>27.145156287766291</v>
      </c>
      <c r="Y67" s="113">
        <f t="shared" si="25"/>
        <v>21.36421205431725</v>
      </c>
      <c r="Z67" s="113">
        <f t="shared" si="25"/>
        <v>0.34743440811836823</v>
      </c>
      <c r="AA67" s="113">
        <f t="shared" si="25"/>
        <v>0.40785778344330187</v>
      </c>
      <c r="AB67" s="83"/>
      <c r="AC67" s="99" t="str">
        <f t="shared" si="26"/>
        <v>FAIL</v>
      </c>
      <c r="AD67" s="100" t="str">
        <f t="shared" si="27"/>
        <v>FAIL</v>
      </c>
      <c r="AE67" s="101"/>
    </row>
    <row r="68" spans="1:32" x14ac:dyDescent="0.25">
      <c r="A68" s="182"/>
      <c r="B68" s="167"/>
      <c r="C68" s="168"/>
      <c r="D68" s="167"/>
      <c r="E68" s="233"/>
      <c r="F68" s="166"/>
      <c r="G68" s="185"/>
      <c r="H68" s="189"/>
      <c r="I68" s="167"/>
      <c r="J68" s="185"/>
      <c r="K68" s="146"/>
      <c r="L68" s="167"/>
      <c r="M68" s="197"/>
      <c r="N68" s="201"/>
      <c r="O68" s="166"/>
      <c r="P68" s="185"/>
      <c r="Q68" s="51">
        <f>(Q66+Q70)/2</f>
        <v>1450</v>
      </c>
      <c r="R68" s="8">
        <f t="shared" si="19"/>
        <v>20.694814290893756</v>
      </c>
      <c r="S68" s="55">
        <f t="shared" si="20"/>
        <v>0.37713313768671869</v>
      </c>
      <c r="T68" s="51">
        <f>(T66+T70)/2</f>
        <v>1450</v>
      </c>
      <c r="U68" s="8">
        <f t="shared" si="21"/>
        <v>24.106728686653131</v>
      </c>
      <c r="V68" s="8">
        <f t="shared" si="22"/>
        <v>0.44595827821542172</v>
      </c>
      <c r="W68" s="127">
        <f t="shared" si="23"/>
        <v>57.723234755340712</v>
      </c>
      <c r="X68" s="85">
        <f t="shared" si="24"/>
        <v>24.025021888316367</v>
      </c>
      <c r="Y68" s="113">
        <f t="shared" si="25"/>
        <v>17.303463796679726</v>
      </c>
      <c r="Z68" s="113">
        <f t="shared" si="25"/>
        <v>0.3469624866717812</v>
      </c>
      <c r="AA68" s="113">
        <f t="shared" si="25"/>
        <v>0.40730378870165623</v>
      </c>
      <c r="AB68" s="83"/>
      <c r="AC68" s="99" t="str">
        <f t="shared" si="26"/>
        <v>FAIL</v>
      </c>
      <c r="AD68" s="100" t="str">
        <f t="shared" si="27"/>
        <v>FAIL</v>
      </c>
      <c r="AE68" s="101"/>
    </row>
    <row r="69" spans="1:32" x14ac:dyDescent="0.25">
      <c r="A69" s="182"/>
      <c r="B69" s="167"/>
      <c r="C69" s="168"/>
      <c r="D69" s="167"/>
      <c r="E69" s="233"/>
      <c r="F69" s="166"/>
      <c r="G69" s="185"/>
      <c r="H69" s="189"/>
      <c r="I69" s="167"/>
      <c r="J69" s="185"/>
      <c r="K69" s="146"/>
      <c r="L69" s="167"/>
      <c r="M69" s="197"/>
      <c r="N69" s="201"/>
      <c r="O69" s="166"/>
      <c r="P69" s="185"/>
      <c r="Q69" s="51">
        <f>(Q68+Q70)/2</f>
        <v>1575</v>
      </c>
      <c r="R69" s="8">
        <f t="shared" si="19"/>
        <v>16.232487857695538</v>
      </c>
      <c r="S69" s="55">
        <f t="shared" si="20"/>
        <v>0.37488991208039563</v>
      </c>
      <c r="T69" s="51">
        <f>(T68+T70)/2</f>
        <v>1575</v>
      </c>
      <c r="U69" s="8">
        <f t="shared" si="21"/>
        <v>20.521965969326455</v>
      </c>
      <c r="V69" s="8">
        <f t="shared" si="22"/>
        <v>0.45371411763096114</v>
      </c>
      <c r="W69" s="127">
        <f t="shared" si="23"/>
        <v>52.463328019308442</v>
      </c>
      <c r="X69" s="85">
        <f t="shared" si="24"/>
        <v>20.103978753156863</v>
      </c>
      <c r="Y69" s="113">
        <f t="shared" si="25"/>
        <v>12.324089716691173</v>
      </c>
      <c r="Z69" s="113">
        <f t="shared" si="25"/>
        <v>0.34489871911396397</v>
      </c>
      <c r="AA69" s="113">
        <f t="shared" si="25"/>
        <v>0.40488110504682728</v>
      </c>
      <c r="AB69" s="83"/>
      <c r="AC69" s="99" t="str">
        <f t="shared" si="26"/>
        <v>FAIL</v>
      </c>
      <c r="AD69" s="100" t="str">
        <f t="shared" si="27"/>
        <v>FAIL</v>
      </c>
      <c r="AE69" s="101"/>
    </row>
    <row r="70" spans="1:32" x14ac:dyDescent="0.25">
      <c r="A70" s="182"/>
      <c r="B70" s="167"/>
      <c r="C70" s="168"/>
      <c r="D70" s="167"/>
      <c r="E70" s="233"/>
      <c r="F70" s="166"/>
      <c r="G70" s="185"/>
      <c r="H70" s="190"/>
      <c r="I70" s="167"/>
      <c r="J70" s="185"/>
      <c r="K70" s="192"/>
      <c r="L70" s="167"/>
      <c r="M70" s="197"/>
      <c r="N70" s="200"/>
      <c r="O70" s="166"/>
      <c r="P70" s="185"/>
      <c r="Q70" s="61">
        <f>$J$3</f>
        <v>1700</v>
      </c>
      <c r="R70" s="41">
        <f t="shared" si="19"/>
        <v>10.90344260980001</v>
      </c>
      <c r="S70" s="54">
        <f t="shared" si="20"/>
        <v>0.37161918117500009</v>
      </c>
      <c r="T70" s="61">
        <f>$J$3</f>
        <v>1700</v>
      </c>
      <c r="U70" s="41">
        <f t="shared" si="21"/>
        <v>16.4845056447</v>
      </c>
      <c r="V70" s="41">
        <f t="shared" si="22"/>
        <v>0.46421693464549935</v>
      </c>
      <c r="W70" s="94">
        <f t="shared" si="23"/>
        <v>44.457238002647777</v>
      </c>
      <c r="X70" s="84">
        <f t="shared" si="24"/>
        <v>15.350130654337521</v>
      </c>
      <c r="Y70" s="112">
        <f t="shared" si="25"/>
        <v>6.4832433655806634</v>
      </c>
      <c r="Z70" s="112">
        <f t="shared" si="25"/>
        <v>0.34188964668100008</v>
      </c>
      <c r="AA70" s="112">
        <f t="shared" si="25"/>
        <v>0.4013487156690001</v>
      </c>
      <c r="AB70" s="83"/>
      <c r="AC70" s="120" t="str">
        <f t="shared" si="26"/>
        <v>FAIL</v>
      </c>
      <c r="AD70" s="121" t="str">
        <f t="shared" si="27"/>
        <v>FAIL</v>
      </c>
      <c r="AE70" s="101"/>
      <c r="AF70" s="209" t="s">
        <v>97</v>
      </c>
    </row>
    <row r="71" spans="1:32" x14ac:dyDescent="0.25">
      <c r="A71" s="182"/>
      <c r="B71" s="167"/>
      <c r="C71" s="168"/>
      <c r="D71" s="167"/>
      <c r="E71" s="233"/>
      <c r="F71" s="166"/>
      <c r="G71" s="185"/>
      <c r="H71" s="208"/>
      <c r="I71" s="167"/>
      <c r="J71" s="185"/>
      <c r="K71" s="145"/>
      <c r="L71" s="167"/>
      <c r="M71" s="197"/>
      <c r="N71" s="201"/>
      <c r="O71" s="166"/>
      <c r="P71" s="185"/>
      <c r="Q71" s="51">
        <f>(Q70+Q72)/2</f>
        <v>1800</v>
      </c>
      <c r="R71" s="8">
        <f t="shared" si="19"/>
        <v>6.0704990191999997</v>
      </c>
      <c r="S71" s="55">
        <f t="shared" si="20"/>
        <v>0.3687653623999998</v>
      </c>
      <c r="T71" s="51">
        <f>(T70+T72)/2</f>
        <v>1800</v>
      </c>
      <c r="U71" s="8">
        <f t="shared" si="21"/>
        <v>12.921682148800013</v>
      </c>
      <c r="V71" s="8">
        <f t="shared" si="22"/>
        <v>0.47570701131199955</v>
      </c>
      <c r="W71" s="92"/>
      <c r="X71" s="118"/>
      <c r="Y71" s="115"/>
      <c r="Z71" s="115"/>
      <c r="AA71" s="110"/>
      <c r="AB71" s="83"/>
      <c r="AC71" s="104"/>
      <c r="AD71" s="107"/>
      <c r="AE71" s="98"/>
    </row>
    <row r="72" spans="1:32" ht="13.2" thickBot="1" x14ac:dyDescent="0.3">
      <c r="A72" s="183"/>
      <c r="B72" s="170"/>
      <c r="C72" s="171"/>
      <c r="D72" s="170"/>
      <c r="E72" s="58"/>
      <c r="F72" s="169"/>
      <c r="G72" s="59"/>
      <c r="H72" s="178"/>
      <c r="I72" s="170"/>
      <c r="J72" s="59"/>
      <c r="K72" s="193"/>
      <c r="L72" s="170"/>
      <c r="M72" s="180"/>
      <c r="N72" s="203"/>
      <c r="O72" s="169"/>
      <c r="P72" s="59"/>
      <c r="Q72" s="56">
        <f>$N$3</f>
        <v>1900</v>
      </c>
      <c r="R72" s="57">
        <f t="shared" si="19"/>
        <v>0.82352819660003718</v>
      </c>
      <c r="S72" s="62">
        <f t="shared" si="20"/>
        <v>0.36611774412499992</v>
      </c>
      <c r="T72" s="56">
        <f>$N$3</f>
        <v>1900</v>
      </c>
      <c r="U72" s="57">
        <f t="shared" si="21"/>
        <v>9.0481290848999905</v>
      </c>
      <c r="V72" s="57">
        <f t="shared" si="22"/>
        <v>0.490761008308499</v>
      </c>
      <c r="W72" s="93"/>
      <c r="X72" s="119"/>
      <c r="Y72" s="116"/>
      <c r="Z72" s="116"/>
      <c r="AA72" s="111"/>
      <c r="AB72" s="86"/>
      <c r="AC72" s="105"/>
      <c r="AD72" s="108"/>
      <c r="AE72" s="102"/>
    </row>
  </sheetData>
  <mergeCells count="23">
    <mergeCell ref="AC58:AE58"/>
    <mergeCell ref="D6:E6"/>
    <mergeCell ref="F6:G6"/>
    <mergeCell ref="X49:Y49"/>
    <mergeCell ref="A51:L51"/>
    <mergeCell ref="A56:B56"/>
    <mergeCell ref="D56:F56"/>
    <mergeCell ref="H56:P56"/>
    <mergeCell ref="Q56:S56"/>
    <mergeCell ref="T56:W56"/>
    <mergeCell ref="A57:G57"/>
    <mergeCell ref="H57:P57"/>
    <mergeCell ref="Q57:S57"/>
    <mergeCell ref="T57:W57"/>
    <mergeCell ref="X57:AB57"/>
    <mergeCell ref="A5:C5"/>
    <mergeCell ref="D5:I5"/>
    <mergeCell ref="AA5:AD5"/>
    <mergeCell ref="A1:N1"/>
    <mergeCell ref="O1:T1"/>
    <mergeCell ref="U1:Z1"/>
    <mergeCell ref="AA2:AF2"/>
    <mergeCell ref="A4:N4"/>
  </mergeCells>
  <pageMargins left="0.75" right="0.75" top="1" bottom="1" header="0.5" footer="0.5"/>
  <pageSetup paperSize="3" scale="53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G32" sqref="G32"/>
    </sheetView>
  </sheetViews>
  <sheetFormatPr defaultRowHeight="12.6" x14ac:dyDescent="0.25"/>
  <cols>
    <col min="7" max="9" width="12" bestFit="1" customWidth="1"/>
    <col min="13" max="13" width="12" bestFit="1" customWidth="1"/>
    <col min="17" max="17" width="12" bestFit="1" customWidth="1"/>
    <col min="21" max="21" width="12" bestFit="1" customWidth="1"/>
    <col min="25" max="25" width="12" bestFit="1" customWidth="1"/>
  </cols>
  <sheetData>
    <row r="1" spans="1:25" ht="13.2" thickBot="1" x14ac:dyDescent="0.3">
      <c r="J1" s="484" t="s">
        <v>165</v>
      </c>
      <c r="K1" s="485"/>
      <c r="L1" s="485"/>
      <c r="M1" s="490"/>
      <c r="N1" s="484" t="s">
        <v>166</v>
      </c>
      <c r="O1" s="485"/>
      <c r="P1" s="485"/>
      <c r="Q1" s="490"/>
      <c r="R1" s="484" t="s">
        <v>167</v>
      </c>
      <c r="S1" s="485"/>
      <c r="T1" s="485"/>
      <c r="U1" s="486"/>
      <c r="V1" s="478" t="s">
        <v>191</v>
      </c>
      <c r="W1" s="479"/>
      <c r="X1" s="479"/>
      <c r="Y1" s="480"/>
    </row>
    <row r="2" spans="1:25" ht="13.2" thickBot="1" x14ac:dyDescent="0.3">
      <c r="A2" s="478" t="s">
        <v>76</v>
      </c>
      <c r="B2" s="479"/>
      <c r="C2" s="479"/>
      <c r="D2" s="480"/>
      <c r="E2" s="489"/>
      <c r="F2" s="489"/>
      <c r="G2" s="489"/>
      <c r="H2" s="489"/>
      <c r="I2" s="489"/>
      <c r="J2" s="481" t="s">
        <v>90</v>
      </c>
      <c r="K2" s="482"/>
      <c r="L2" s="482"/>
      <c r="M2" s="483"/>
      <c r="N2" s="481" t="s">
        <v>90</v>
      </c>
      <c r="O2" s="482"/>
      <c r="P2" s="482"/>
      <c r="Q2" s="483"/>
      <c r="R2" s="481" t="s">
        <v>90</v>
      </c>
      <c r="S2" s="482"/>
      <c r="T2" s="482"/>
      <c r="U2" s="487"/>
      <c r="V2" s="481" t="s">
        <v>90</v>
      </c>
      <c r="W2" s="482"/>
      <c r="X2" s="482"/>
      <c r="Y2" s="483"/>
    </row>
    <row r="3" spans="1:25" x14ac:dyDescent="0.25">
      <c r="A3" s="481" t="s">
        <v>87</v>
      </c>
      <c r="B3" s="482"/>
      <c r="C3" s="482"/>
      <c r="D3" s="483"/>
      <c r="E3" s="469" t="s">
        <v>77</v>
      </c>
      <c r="F3" s="479"/>
      <c r="G3" s="479"/>
      <c r="H3" s="479"/>
      <c r="I3" s="488"/>
      <c r="J3" s="481" t="s">
        <v>87</v>
      </c>
      <c r="K3" s="482"/>
      <c r="L3" s="482"/>
      <c r="M3" s="483"/>
      <c r="N3" s="481" t="s">
        <v>87</v>
      </c>
      <c r="O3" s="482"/>
      <c r="P3" s="482"/>
      <c r="Q3" s="483"/>
      <c r="R3" s="481" t="s">
        <v>87</v>
      </c>
      <c r="S3" s="482"/>
      <c r="T3" s="482"/>
      <c r="U3" s="487"/>
      <c r="V3" s="481" t="s">
        <v>87</v>
      </c>
      <c r="W3" s="482"/>
      <c r="X3" s="482"/>
      <c r="Y3" s="483"/>
    </row>
    <row r="4" spans="1:25" s="150" customFormat="1" x14ac:dyDescent="0.25">
      <c r="A4" s="212" t="s">
        <v>70</v>
      </c>
      <c r="B4" s="211" t="s">
        <v>72</v>
      </c>
      <c r="C4" s="211" t="s">
        <v>74</v>
      </c>
      <c r="D4" s="213" t="s">
        <v>135</v>
      </c>
      <c r="E4" s="225" t="s">
        <v>81</v>
      </c>
      <c r="F4" s="210" t="s">
        <v>79</v>
      </c>
      <c r="G4" s="210" t="s">
        <v>82</v>
      </c>
      <c r="H4" s="210" t="s">
        <v>83</v>
      </c>
      <c r="I4" s="214" t="s">
        <v>91</v>
      </c>
      <c r="J4" s="212" t="s">
        <v>70</v>
      </c>
      <c r="K4" s="210" t="s">
        <v>72</v>
      </c>
      <c r="L4" s="210" t="s">
        <v>74</v>
      </c>
      <c r="M4" s="213" t="s">
        <v>93</v>
      </c>
      <c r="N4" s="212" t="s">
        <v>70</v>
      </c>
      <c r="O4" s="210" t="s">
        <v>72</v>
      </c>
      <c r="P4" s="210" t="s">
        <v>74</v>
      </c>
      <c r="Q4" s="213" t="s">
        <v>93</v>
      </c>
      <c r="R4" s="212" t="s">
        <v>70</v>
      </c>
      <c r="S4" s="210" t="s">
        <v>72</v>
      </c>
      <c r="T4" s="210" t="s">
        <v>74</v>
      </c>
      <c r="U4" s="214" t="s">
        <v>93</v>
      </c>
      <c r="V4" s="51" t="s">
        <v>70</v>
      </c>
      <c r="W4" s="7" t="s">
        <v>72</v>
      </c>
      <c r="X4" s="7" t="s">
        <v>74</v>
      </c>
      <c r="Y4" s="52" t="s">
        <v>93</v>
      </c>
    </row>
    <row r="5" spans="1:25" s="150" customFormat="1" ht="13.2" thickBot="1" x14ac:dyDescent="0.3">
      <c r="A5" s="222" t="s">
        <v>71</v>
      </c>
      <c r="B5" s="223" t="s">
        <v>73</v>
      </c>
      <c r="C5" s="223" t="s">
        <v>75</v>
      </c>
      <c r="D5" s="224" t="s">
        <v>92</v>
      </c>
      <c r="E5" s="226" t="s">
        <v>73</v>
      </c>
      <c r="F5" s="218" t="s">
        <v>73</v>
      </c>
      <c r="G5" s="218" t="s">
        <v>75</v>
      </c>
      <c r="H5" s="218" t="s">
        <v>75</v>
      </c>
      <c r="I5" s="220" t="s">
        <v>92</v>
      </c>
      <c r="J5" s="217" t="s">
        <v>71</v>
      </c>
      <c r="K5" s="218" t="s">
        <v>73</v>
      </c>
      <c r="L5" s="218" t="s">
        <v>75</v>
      </c>
      <c r="M5" s="219" t="s">
        <v>92</v>
      </c>
      <c r="N5" s="222" t="s">
        <v>71</v>
      </c>
      <c r="O5" s="223" t="s">
        <v>73</v>
      </c>
      <c r="P5" s="223" t="s">
        <v>75</v>
      </c>
      <c r="Q5" s="224" t="s">
        <v>92</v>
      </c>
      <c r="R5" s="222" t="s">
        <v>71</v>
      </c>
      <c r="S5" s="223" t="s">
        <v>73</v>
      </c>
      <c r="T5" s="223" t="s">
        <v>75</v>
      </c>
      <c r="U5" s="252" t="s">
        <v>92</v>
      </c>
      <c r="V5" s="217" t="s">
        <v>71</v>
      </c>
      <c r="W5" s="218" t="s">
        <v>73</v>
      </c>
      <c r="X5" s="218" t="s">
        <v>75</v>
      </c>
      <c r="Y5" s="219" t="s">
        <v>92</v>
      </c>
    </row>
    <row r="6" spans="1:25" x14ac:dyDescent="0.25">
      <c r="A6" s="47">
        <v>0</v>
      </c>
      <c r="B6" s="49">
        <v>34.578919999999997</v>
      </c>
      <c r="C6" s="49">
        <v>0.25501099999999999</v>
      </c>
      <c r="D6" s="50"/>
      <c r="E6" s="227"/>
      <c r="F6" s="215"/>
      <c r="G6" s="215"/>
      <c r="H6" s="215"/>
      <c r="I6" s="216"/>
      <c r="J6" s="47">
        <v>0</v>
      </c>
      <c r="K6" s="49">
        <v>33.5443</v>
      </c>
      <c r="L6" s="49">
        <v>0.26505289999999998</v>
      </c>
      <c r="M6" s="221"/>
      <c r="N6" s="47">
        <v>0</v>
      </c>
      <c r="O6" s="49">
        <v>33.794460000000001</v>
      </c>
      <c r="P6" s="49">
        <v>0.28023160000000003</v>
      </c>
      <c r="Q6" s="221"/>
      <c r="R6" s="47">
        <v>0</v>
      </c>
      <c r="S6" s="49">
        <v>34.197009999999999</v>
      </c>
      <c r="T6" s="49">
        <v>0.24524750000000001</v>
      </c>
      <c r="U6" s="221"/>
      <c r="V6" s="253">
        <v>0</v>
      </c>
      <c r="W6" s="187">
        <v>36.152349999999998</v>
      </c>
      <c r="X6" s="187">
        <v>0.2451998</v>
      </c>
      <c r="Y6" s="254"/>
    </row>
    <row r="7" spans="1:25" x14ac:dyDescent="0.25">
      <c r="A7" s="51">
        <v>350</v>
      </c>
      <c r="B7" s="7">
        <v>34.024158746931249</v>
      </c>
      <c r="C7" s="7">
        <v>0.29064644929765621</v>
      </c>
      <c r="D7" s="52"/>
      <c r="E7" s="228"/>
      <c r="F7" s="7"/>
      <c r="G7" s="7"/>
      <c r="H7" s="7"/>
      <c r="I7" s="186"/>
      <c r="J7" s="51">
        <v>350</v>
      </c>
      <c r="K7" s="7">
        <v>34.090469574958433</v>
      </c>
      <c r="L7" s="7">
        <v>0.29691888783784059</v>
      </c>
      <c r="M7" s="186"/>
      <c r="N7" s="51">
        <v>350</v>
      </c>
      <c r="O7" s="7">
        <v>34.354900929337191</v>
      </c>
      <c r="P7" s="7">
        <v>0.31168362091631252</v>
      </c>
      <c r="Q7" s="186"/>
      <c r="R7" s="51">
        <v>350</v>
      </c>
      <c r="S7" s="7">
        <v>34.792623674945624</v>
      </c>
      <c r="T7" s="7">
        <v>0.28866802936928432</v>
      </c>
      <c r="U7" s="186"/>
      <c r="V7" s="51">
        <v>350</v>
      </c>
      <c r="W7" s="7">
        <v>36.251157285084368</v>
      </c>
      <c r="X7" s="7">
        <v>0.2962067484775156</v>
      </c>
      <c r="Y7" s="52"/>
    </row>
    <row r="8" spans="1:25" x14ac:dyDescent="0.25">
      <c r="A8" s="51">
        <v>700</v>
      </c>
      <c r="B8" s="7">
        <v>32.470848099800001</v>
      </c>
      <c r="C8" s="7">
        <v>0.33873762042499994</v>
      </c>
      <c r="D8" s="52"/>
      <c r="E8" s="228">
        <v>34.288794150098845</v>
      </c>
      <c r="F8" s="7">
        <v>30.659498613341036</v>
      </c>
      <c r="G8" s="7">
        <v>0.31163861079099997</v>
      </c>
      <c r="H8" s="7">
        <v>0.36583663005899997</v>
      </c>
      <c r="I8" s="186"/>
      <c r="J8" s="51">
        <v>700</v>
      </c>
      <c r="K8" s="7">
        <v>34.452738200669998</v>
      </c>
      <c r="L8" s="7">
        <v>0.38305715272089985</v>
      </c>
      <c r="M8" s="186">
        <v>46.365699494073226</v>
      </c>
      <c r="N8" s="51">
        <v>700</v>
      </c>
      <c r="O8" s="7">
        <v>34.51272253778999</v>
      </c>
      <c r="P8" s="7">
        <v>0.41060419946200011</v>
      </c>
      <c r="Q8" s="186">
        <v>43.330378377279239</v>
      </c>
      <c r="R8" s="51">
        <v>700</v>
      </c>
      <c r="S8" s="7">
        <v>34.410639725260005</v>
      </c>
      <c r="T8" s="7">
        <v>0.36714418788710002</v>
      </c>
      <c r="U8" s="186">
        <v>48.316196346253669</v>
      </c>
      <c r="V8" s="51">
        <v>700</v>
      </c>
      <c r="W8" s="7">
        <v>35.861532179700006</v>
      </c>
      <c r="X8" s="7">
        <v>0.37116667237049994</v>
      </c>
      <c r="Y8" s="52">
        <v>49.807703241300217</v>
      </c>
    </row>
    <row r="9" spans="1:25" x14ac:dyDescent="0.25">
      <c r="A9" s="51">
        <v>825</v>
      </c>
      <c r="B9" s="7">
        <v>31.689462103857611</v>
      </c>
      <c r="C9" s="7">
        <v>0.35255181358210447</v>
      </c>
      <c r="D9" s="52"/>
      <c r="E9" s="228">
        <v>33.570838087227592</v>
      </c>
      <c r="F9" s="7">
        <v>29.807079605037579</v>
      </c>
      <c r="G9" s="7">
        <v>0.32434766849553615</v>
      </c>
      <c r="H9" s="7">
        <v>0.38075595866867284</v>
      </c>
      <c r="I9" s="186"/>
      <c r="J9" s="51">
        <v>825</v>
      </c>
      <c r="K9" s="7">
        <v>34.047951952794271</v>
      </c>
      <c r="L9" s="7">
        <v>0.40544651062018461</v>
      </c>
      <c r="M9" s="186">
        <v>51.02111944342321</v>
      </c>
      <c r="N9" s="51">
        <v>825</v>
      </c>
      <c r="O9" s="7">
        <v>34.119181002032434</v>
      </c>
      <c r="P9" s="7">
        <v>0.43340526125765438</v>
      </c>
      <c r="Q9" s="186">
        <v>47.829624966755716</v>
      </c>
      <c r="R9" s="51">
        <v>825</v>
      </c>
      <c r="S9" s="7">
        <v>33.668144460298578</v>
      </c>
      <c r="T9" s="7">
        <v>0.39024612351545207</v>
      </c>
      <c r="U9" s="186">
        <v>52.41711826406673</v>
      </c>
      <c r="V9" s="51">
        <v>825</v>
      </c>
      <c r="W9" s="7">
        <v>35.061253102143844</v>
      </c>
      <c r="X9" s="7">
        <v>0.39244381137331985</v>
      </c>
      <c r="Y9" s="52">
        <v>54.280333315092015</v>
      </c>
    </row>
    <row r="10" spans="1:25" x14ac:dyDescent="0.25">
      <c r="A10" s="51">
        <v>950</v>
      </c>
      <c r="B10" s="7">
        <v>30.623455699956246</v>
      </c>
      <c r="C10" s="7">
        <v>0.36344069891328118</v>
      </c>
      <c r="D10" s="52"/>
      <c r="E10" s="228">
        <v>32.624426296334313</v>
      </c>
      <c r="F10" s="7">
        <v>28.608632418103369</v>
      </c>
      <c r="G10" s="7">
        <v>0.3343654430002187</v>
      </c>
      <c r="H10" s="7">
        <v>0.39251595482634372</v>
      </c>
      <c r="I10" s="186"/>
      <c r="J10" s="51">
        <v>950</v>
      </c>
      <c r="K10" s="7">
        <v>33.119929532162196</v>
      </c>
      <c r="L10" s="7">
        <v>0.42110566331910304</v>
      </c>
      <c r="M10" s="186">
        <v>55.025061358872186</v>
      </c>
      <c r="N10" s="51">
        <v>950</v>
      </c>
      <c r="O10" s="7">
        <v>33.233779162375939</v>
      </c>
      <c r="P10" s="7">
        <v>0.44719898518856271</v>
      </c>
      <c r="Q10" s="186">
        <v>51.992551885418472</v>
      </c>
      <c r="R10" s="51">
        <v>950</v>
      </c>
      <c r="S10" s="7">
        <v>32.477391210088129</v>
      </c>
      <c r="T10" s="7">
        <v>0.40863031870452182</v>
      </c>
      <c r="U10" s="186">
        <v>55.604861569003297</v>
      </c>
      <c r="V10" s="51">
        <v>950</v>
      </c>
      <c r="W10" s="7">
        <v>33.814827840871864</v>
      </c>
      <c r="X10" s="7">
        <v>0.40942515561307796</v>
      </c>
      <c r="Y10" s="52">
        <v>57.782306216995394</v>
      </c>
    </row>
    <row r="11" spans="1:25" x14ac:dyDescent="0.25">
      <c r="A11" s="51">
        <v>1075</v>
      </c>
      <c r="B11" s="7">
        <v>29.130005821933786</v>
      </c>
      <c r="C11" s="7">
        <v>0.37117844488166507</v>
      </c>
      <c r="D11" s="52"/>
      <c r="E11" s="228">
        <v>31.325811230879737</v>
      </c>
      <c r="F11" s="7">
        <v>26.903546098432454</v>
      </c>
      <c r="G11" s="7">
        <v>0.3414841692911319</v>
      </c>
      <c r="H11" s="7">
        <v>0.4008727204721983</v>
      </c>
      <c r="I11" s="186"/>
      <c r="J11" s="51">
        <v>1075</v>
      </c>
      <c r="K11" s="7">
        <v>31.533916059611165</v>
      </c>
      <c r="L11" s="7">
        <v>0.43060220573135166</v>
      </c>
      <c r="M11" s="186">
        <v>57.976064254782131</v>
      </c>
      <c r="N11" s="51">
        <v>1075</v>
      </c>
      <c r="O11" s="7">
        <v>31.698514184140343</v>
      </c>
      <c r="P11" s="7">
        <v>0.45310429850326006</v>
      </c>
      <c r="Q11" s="186">
        <v>55.384443478933363</v>
      </c>
      <c r="R11" s="51">
        <v>1075</v>
      </c>
      <c r="S11" s="7">
        <v>30.777058731489007</v>
      </c>
      <c r="T11" s="7">
        <v>0.42213672079158976</v>
      </c>
      <c r="U11" s="186">
        <v>57.719299759470587</v>
      </c>
      <c r="V11" s="51">
        <v>1075</v>
      </c>
      <c r="W11" s="7">
        <v>32.098017238535441</v>
      </c>
      <c r="X11" s="7">
        <v>0.42230484685796316</v>
      </c>
      <c r="Y11" s="52">
        <v>60.17266030318271</v>
      </c>
    </row>
    <row r="12" spans="1:25" x14ac:dyDescent="0.25">
      <c r="A12" s="51">
        <v>1200</v>
      </c>
      <c r="B12" s="7">
        <v>27.062060604799996</v>
      </c>
      <c r="C12" s="7">
        <v>0.37581834079999993</v>
      </c>
      <c r="D12" s="52">
        <v>63.643217992758629</v>
      </c>
      <c r="E12" s="228">
        <v>29.542132025608542</v>
      </c>
      <c r="F12" s="7">
        <v>24.533748216213777</v>
      </c>
      <c r="G12" s="7">
        <v>0.34575287353599993</v>
      </c>
      <c r="H12" s="7">
        <v>0.40588380806399993</v>
      </c>
      <c r="I12" s="186">
        <v>57.278896193482765</v>
      </c>
      <c r="J12" s="51">
        <v>1200</v>
      </c>
      <c r="K12" s="7">
        <v>29.189825345919992</v>
      </c>
      <c r="L12" s="7">
        <v>0.43545836723839981</v>
      </c>
      <c r="M12" s="186">
        <v>59.238589736026597</v>
      </c>
      <c r="N12" s="51">
        <v>1200</v>
      </c>
      <c r="O12" s="7">
        <v>29.388394487040003</v>
      </c>
      <c r="P12" s="7">
        <v>0.45323777171200008</v>
      </c>
      <c r="Q12" s="186">
        <v>57.301978774655574</v>
      </c>
      <c r="R12" s="51">
        <v>1200</v>
      </c>
      <c r="S12" s="7">
        <v>28.526746389760003</v>
      </c>
      <c r="T12" s="7">
        <v>0.43126485416960003</v>
      </c>
      <c r="U12" s="186">
        <v>58.455856554866585</v>
      </c>
      <c r="V12" s="51">
        <v>1200</v>
      </c>
      <c r="W12" s="7">
        <v>29.903932787200006</v>
      </c>
      <c r="X12" s="7">
        <v>0.43184078700799983</v>
      </c>
      <c r="Y12" s="52">
        <v>61.196206797099919</v>
      </c>
    </row>
    <row r="13" spans="1:25" x14ac:dyDescent="0.25">
      <c r="A13" s="51">
        <v>1325</v>
      </c>
      <c r="B13" s="7">
        <v>24.285252983369322</v>
      </c>
      <c r="C13" s="7">
        <v>0.37764609578083502</v>
      </c>
      <c r="D13" s="52"/>
      <c r="E13" s="228">
        <v>27.145156287766291</v>
      </c>
      <c r="F13" s="7">
        <v>21.36421205431725</v>
      </c>
      <c r="G13" s="7">
        <v>0.34743440811836823</v>
      </c>
      <c r="H13" s="7">
        <v>0.40785778344330187</v>
      </c>
      <c r="I13" s="186"/>
      <c r="J13" s="51">
        <v>1325</v>
      </c>
      <c r="K13" s="7">
        <v>26.039336746056961</v>
      </c>
      <c r="L13" s="7">
        <v>0.43782897996341696</v>
      </c>
      <c r="M13" s="186">
        <v>58.033651898663898</v>
      </c>
      <c r="N13" s="51">
        <v>1325</v>
      </c>
      <c r="O13" s="7">
        <v>26.234995520330287</v>
      </c>
      <c r="P13" s="7">
        <v>0.45011474871370893</v>
      </c>
      <c r="Q13" s="186">
        <v>56.873798821070885</v>
      </c>
      <c r="R13" s="51">
        <v>1325</v>
      </c>
      <c r="S13" s="7">
        <v>25.712481670765371</v>
      </c>
      <c r="T13" s="7">
        <v>0.43706631734526641</v>
      </c>
      <c r="U13" s="186">
        <v>57.405187915034709</v>
      </c>
      <c r="V13" s="51">
        <v>1325</v>
      </c>
      <c r="W13" s="7">
        <v>27.236967817309861</v>
      </c>
      <c r="X13" s="7">
        <v>0.43922571408381783</v>
      </c>
      <c r="Y13" s="52">
        <v>60.509767838283224</v>
      </c>
    </row>
    <row r="14" spans="1:25" x14ac:dyDescent="0.25">
      <c r="A14" s="51">
        <v>1450</v>
      </c>
      <c r="B14" s="7">
        <v>20.694814290893756</v>
      </c>
      <c r="C14" s="7">
        <v>0.37713313768671869</v>
      </c>
      <c r="D14" s="52"/>
      <c r="E14" s="228">
        <v>24.025021888316367</v>
      </c>
      <c r="F14" s="7">
        <v>17.303463796679726</v>
      </c>
      <c r="G14" s="7">
        <v>0.3469624866717812</v>
      </c>
      <c r="H14" s="7">
        <v>0.40730378870165623</v>
      </c>
      <c r="I14" s="186"/>
      <c r="J14" s="51">
        <v>1450</v>
      </c>
      <c r="K14" s="7">
        <v>22.102992013427802</v>
      </c>
      <c r="L14" s="7">
        <v>0.44017944704519685</v>
      </c>
      <c r="M14" s="186">
        <v>53.620136690235434</v>
      </c>
      <c r="N14" s="51">
        <v>1450</v>
      </c>
      <c r="O14" s="7">
        <v>22.250015537954063</v>
      </c>
      <c r="P14" s="7">
        <v>0.44605047692293742</v>
      </c>
      <c r="Q14" s="186">
        <v>53.266347873823293</v>
      </c>
      <c r="R14" s="51">
        <v>1450</v>
      </c>
      <c r="S14" s="7">
        <v>22.352227693181874</v>
      </c>
      <c r="T14" s="7">
        <v>0.44103727999717834</v>
      </c>
      <c r="U14" s="186">
        <v>54.119293969891842</v>
      </c>
      <c r="V14" s="51">
        <v>1450</v>
      </c>
      <c r="W14" s="7">
        <v>24.106728686653131</v>
      </c>
      <c r="X14" s="7">
        <v>0.44595827821542172</v>
      </c>
      <c r="Y14" s="52">
        <v>57.723234755340712</v>
      </c>
    </row>
    <row r="15" spans="1:25" x14ac:dyDescent="0.25">
      <c r="A15" s="51">
        <v>1575</v>
      </c>
      <c r="B15" s="7">
        <v>16.232487857695538</v>
      </c>
      <c r="C15" s="7">
        <v>0.37488991208039563</v>
      </c>
      <c r="D15" s="52"/>
      <c r="E15" s="228">
        <v>20.103978753156863</v>
      </c>
      <c r="F15" s="7">
        <v>12.324089716691173</v>
      </c>
      <c r="G15" s="7">
        <v>0.34489871911396397</v>
      </c>
      <c r="H15" s="7">
        <v>0.40488110504682728</v>
      </c>
      <c r="I15" s="186"/>
      <c r="J15" s="51">
        <v>1575</v>
      </c>
      <c r="K15" s="7">
        <v>17.487292154123864</v>
      </c>
      <c r="L15" s="7">
        <v>0.44496371091208387</v>
      </c>
      <c r="M15" s="186">
        <v>45.584494028872562</v>
      </c>
      <c r="N15" s="51">
        <v>1575</v>
      </c>
      <c r="O15" s="7">
        <v>17.548831373688209</v>
      </c>
      <c r="P15" s="7">
        <v>0.4425612373968153</v>
      </c>
      <c r="Q15" s="186">
        <v>45.993238939077095</v>
      </c>
      <c r="R15" s="51">
        <v>1575</v>
      </c>
      <c r="S15" s="7">
        <v>18.501390720705793</v>
      </c>
      <c r="T15" s="7">
        <v>0.44501098003390405</v>
      </c>
      <c r="U15" s="186">
        <v>48.222843413423192</v>
      </c>
      <c r="V15" s="51">
        <v>1575</v>
      </c>
      <c r="W15" s="7">
        <v>20.521965969326455</v>
      </c>
      <c r="X15" s="7">
        <v>0.45371411763096114</v>
      </c>
      <c r="Y15" s="52">
        <v>52.463328019308442</v>
      </c>
    </row>
    <row r="16" spans="1:25" x14ac:dyDescent="0.25">
      <c r="A16" s="51">
        <v>1700</v>
      </c>
      <c r="B16" s="7">
        <v>10.90344260980001</v>
      </c>
      <c r="C16" s="7">
        <v>0.37161918117500009</v>
      </c>
      <c r="D16" s="52"/>
      <c r="E16" s="228">
        <v>15.350130654337521</v>
      </c>
      <c r="F16" s="7">
        <v>6.4832433655806634</v>
      </c>
      <c r="G16" s="7">
        <v>0.34188964668100008</v>
      </c>
      <c r="H16" s="7">
        <v>0.4013487156690001</v>
      </c>
      <c r="I16" s="186"/>
      <c r="J16" s="51">
        <v>1700</v>
      </c>
      <c r="K16" s="7">
        <v>12.401794281169998</v>
      </c>
      <c r="L16" s="7">
        <v>0.45430222155589961</v>
      </c>
      <c r="M16" s="186">
        <v>34.176469107704904</v>
      </c>
      <c r="N16" s="51">
        <v>1700</v>
      </c>
      <c r="O16" s="7">
        <v>12.37405421629002</v>
      </c>
      <c r="P16" s="7">
        <v>0.43976547496200036</v>
      </c>
      <c r="Q16" s="186">
        <v>35.22722338329006</v>
      </c>
      <c r="R16" s="51">
        <v>1700</v>
      </c>
      <c r="S16" s="7">
        <v>14.258327674259998</v>
      </c>
      <c r="T16" s="7">
        <v>0.45105022065209949</v>
      </c>
      <c r="U16" s="186">
        <v>39.575938381996416</v>
      </c>
      <c r="V16" s="51">
        <v>1700</v>
      </c>
      <c r="W16" s="7">
        <v>16.4845056447</v>
      </c>
      <c r="X16" s="7">
        <v>0.46421693464549935</v>
      </c>
      <c r="Y16" s="52">
        <v>44.457238002647777</v>
      </c>
    </row>
    <row r="17" spans="1:25" x14ac:dyDescent="0.25">
      <c r="A17" s="51">
        <v>1800</v>
      </c>
      <c r="B17" s="7">
        <v>6.0704990191999997</v>
      </c>
      <c r="C17" s="7">
        <v>0.3687653623999998</v>
      </c>
      <c r="D17" s="52"/>
      <c r="E17" s="228"/>
      <c r="F17" s="7"/>
      <c r="G17" s="7"/>
      <c r="H17" s="7"/>
      <c r="I17" s="186"/>
      <c r="J17" s="51">
        <v>1800</v>
      </c>
      <c r="K17" s="7">
        <v>8.2122328580799859</v>
      </c>
      <c r="L17" s="7">
        <v>0.4660667669216001</v>
      </c>
      <c r="M17" s="186"/>
      <c r="N17" s="51">
        <v>1800</v>
      </c>
      <c r="O17" s="7">
        <v>8.1519431529600013</v>
      </c>
      <c r="P17" s="7">
        <v>0.43684835900800234</v>
      </c>
      <c r="Q17" s="186"/>
      <c r="R17" s="51">
        <v>1800</v>
      </c>
      <c r="S17" s="7">
        <v>10.678365370240002</v>
      </c>
      <c r="T17" s="7">
        <v>0.45883567591039998</v>
      </c>
      <c r="U17" s="186"/>
      <c r="V17" s="51">
        <v>1800</v>
      </c>
      <c r="W17" s="7">
        <v>12.921682148800013</v>
      </c>
      <c r="X17" s="7">
        <v>0.47570701131199955</v>
      </c>
      <c r="Y17" s="52"/>
    </row>
    <row r="18" spans="1:25" ht="13.2" thickBot="1" x14ac:dyDescent="0.3">
      <c r="A18" s="56">
        <v>1900</v>
      </c>
      <c r="B18" s="58">
        <v>0.82352819660003718</v>
      </c>
      <c r="C18" s="58">
        <v>0.36611774412499992</v>
      </c>
      <c r="D18" s="59"/>
      <c r="E18" s="229"/>
      <c r="F18" s="58"/>
      <c r="G18" s="58"/>
      <c r="H18" s="58"/>
      <c r="I18" s="180"/>
      <c r="J18" s="56">
        <v>1900</v>
      </c>
      <c r="K18" s="58">
        <v>4.1616484071899862</v>
      </c>
      <c r="L18" s="58">
        <v>0.48201677532129938</v>
      </c>
      <c r="M18" s="180"/>
      <c r="N18" s="56">
        <v>1900</v>
      </c>
      <c r="O18" s="58">
        <v>4.1558365950299958</v>
      </c>
      <c r="P18" s="58">
        <v>0.4310927009740011</v>
      </c>
      <c r="Q18" s="180"/>
      <c r="R18" s="56">
        <v>1900</v>
      </c>
      <c r="S18" s="58">
        <v>7.0400868218199975</v>
      </c>
      <c r="T18" s="58">
        <v>0.47047142541469944</v>
      </c>
      <c r="U18" s="180"/>
      <c r="V18" s="56">
        <v>1900</v>
      </c>
      <c r="W18" s="58">
        <v>9.0481290848999905</v>
      </c>
      <c r="X18" s="58">
        <v>0.490761008308499</v>
      </c>
      <c r="Y18" s="59"/>
    </row>
    <row r="20" spans="1:25" x14ac:dyDescent="0.25">
      <c r="A20" s="70" t="s">
        <v>98</v>
      </c>
      <c r="B20" s="70"/>
      <c r="C20" s="70"/>
      <c r="D20" s="70"/>
      <c r="E20" s="70"/>
    </row>
    <row r="21" spans="1:25" x14ac:dyDescent="0.25">
      <c r="A21" s="6">
        <v>700</v>
      </c>
      <c r="B21">
        <v>0</v>
      </c>
      <c r="C21">
        <v>0</v>
      </c>
      <c r="E21">
        <v>0</v>
      </c>
      <c r="G21" t="s">
        <v>168</v>
      </c>
      <c r="I21" t="s">
        <v>170</v>
      </c>
    </row>
    <row r="22" spans="1:25" x14ac:dyDescent="0.25">
      <c r="A22" s="6">
        <v>700</v>
      </c>
      <c r="B22">
        <v>40</v>
      </c>
      <c r="C22">
        <v>0.7</v>
      </c>
      <c r="E22">
        <v>70</v>
      </c>
      <c r="G22" t="s">
        <v>172</v>
      </c>
      <c r="I22" t="s">
        <v>174</v>
      </c>
    </row>
    <row r="23" spans="1:25" x14ac:dyDescent="0.25">
      <c r="A23" s="130" t="s">
        <v>96</v>
      </c>
      <c r="B23" s="130"/>
      <c r="C23" s="130"/>
      <c r="D23" s="130"/>
      <c r="E23" s="130"/>
      <c r="G23" t="s">
        <v>176</v>
      </c>
      <c r="I23" t="s">
        <v>178</v>
      </c>
    </row>
    <row r="24" spans="1:25" x14ac:dyDescent="0.25">
      <c r="A24" s="131">
        <v>1200</v>
      </c>
      <c r="B24" s="130">
        <v>0</v>
      </c>
      <c r="C24" s="130">
        <v>0</v>
      </c>
      <c r="D24" s="130"/>
      <c r="E24" s="130">
        <v>0</v>
      </c>
      <c r="G24" t="s">
        <v>169</v>
      </c>
      <c r="I24" t="s">
        <v>171</v>
      </c>
    </row>
    <row r="25" spans="1:25" x14ac:dyDescent="0.25">
      <c r="A25" s="131">
        <v>1200</v>
      </c>
      <c r="B25" s="130">
        <v>40</v>
      </c>
      <c r="C25" s="130">
        <v>0.7</v>
      </c>
      <c r="D25" s="130"/>
      <c r="E25" s="130">
        <v>70</v>
      </c>
      <c r="G25" t="s">
        <v>173</v>
      </c>
      <c r="I25" t="s">
        <v>175</v>
      </c>
    </row>
    <row r="26" spans="1:25" x14ac:dyDescent="0.25">
      <c r="A26" s="130" t="s">
        <v>99</v>
      </c>
      <c r="B26" s="130"/>
      <c r="C26" s="130"/>
      <c r="D26" s="130"/>
      <c r="E26" s="130"/>
      <c r="G26" t="s">
        <v>177</v>
      </c>
      <c r="I26" t="s">
        <v>179</v>
      </c>
    </row>
    <row r="27" spans="1:25" x14ac:dyDescent="0.25">
      <c r="A27" s="131">
        <v>1700</v>
      </c>
      <c r="B27" s="130">
        <v>0</v>
      </c>
      <c r="C27" s="130">
        <v>0</v>
      </c>
      <c r="D27" s="130"/>
      <c r="E27" s="130">
        <v>0</v>
      </c>
      <c r="G27" t="s">
        <v>194</v>
      </c>
    </row>
    <row r="28" spans="1:25" x14ac:dyDescent="0.25">
      <c r="A28" s="131">
        <v>1700</v>
      </c>
      <c r="B28" s="130">
        <v>40</v>
      </c>
      <c r="C28" s="130">
        <v>0.7</v>
      </c>
      <c r="D28" s="130"/>
      <c r="E28" s="130">
        <v>70</v>
      </c>
      <c r="G28" t="s">
        <v>193</v>
      </c>
    </row>
    <row r="29" spans="1:25" x14ac:dyDescent="0.25">
      <c r="G29" t="s">
        <v>192</v>
      </c>
    </row>
  </sheetData>
  <mergeCells count="16">
    <mergeCell ref="V1:Y1"/>
    <mergeCell ref="V2:Y2"/>
    <mergeCell ref="V3:Y3"/>
    <mergeCell ref="A2:D2"/>
    <mergeCell ref="A3:D3"/>
    <mergeCell ref="R1:U1"/>
    <mergeCell ref="R2:U2"/>
    <mergeCell ref="R3:U3"/>
    <mergeCell ref="E3:I3"/>
    <mergeCell ref="E2:I2"/>
    <mergeCell ref="J1:M1"/>
    <mergeCell ref="J2:M2"/>
    <mergeCell ref="J3:M3"/>
    <mergeCell ref="N1:Q1"/>
    <mergeCell ref="N2:Q2"/>
    <mergeCell ref="N3:Q3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E80"/>
  <sheetViews>
    <sheetView zoomScale="90" zoomScaleNormal="90" workbookViewId="0">
      <selection activeCell="D5" sqref="D5:I5"/>
    </sheetView>
  </sheetViews>
  <sheetFormatPr defaultRowHeight="12.6" x14ac:dyDescent="0.25"/>
  <cols>
    <col min="1" max="1" width="12.6640625" style="255" customWidth="1"/>
    <col min="2" max="2" width="14.109375" style="255" bestFit="1" customWidth="1"/>
    <col min="3" max="3" width="15.33203125" style="255" bestFit="1" customWidth="1"/>
    <col min="4" max="4" width="14.109375" style="255" bestFit="1" customWidth="1"/>
    <col min="5" max="5" width="13" style="255" bestFit="1" customWidth="1"/>
    <col min="6" max="6" width="13.33203125" style="255" bestFit="1" customWidth="1"/>
    <col min="7" max="7" width="13.88671875" style="255" bestFit="1" customWidth="1"/>
    <col min="8" max="8" width="13.5546875" style="255" bestFit="1" customWidth="1"/>
    <col min="9" max="9" width="14.109375" style="255" bestFit="1" customWidth="1"/>
    <col min="10" max="10" width="14.44140625" style="255" bestFit="1" customWidth="1"/>
    <col min="11" max="11" width="13.88671875" style="255" bestFit="1" customWidth="1"/>
    <col min="12" max="12" width="14.6640625" style="255" bestFit="1" customWidth="1"/>
    <col min="13" max="13" width="14" style="255" customWidth="1"/>
    <col min="14" max="14" width="16.21875" style="255" bestFit="1" customWidth="1"/>
    <col min="15" max="15" width="14" style="255" bestFit="1" customWidth="1"/>
    <col min="16" max="16" width="14.109375" style="255" customWidth="1"/>
    <col min="17" max="17" width="14.88671875" style="280" bestFit="1" customWidth="1"/>
    <col min="18" max="18" width="13.88671875" style="280" bestFit="1" customWidth="1"/>
    <col min="19" max="19" width="14.44140625" style="280" bestFit="1" customWidth="1"/>
    <col min="20" max="20" width="13.5546875" style="280" bestFit="1" customWidth="1"/>
    <col min="21" max="22" width="13.88671875" style="255" bestFit="1" customWidth="1"/>
    <col min="23" max="23" width="14.6640625" style="255" bestFit="1" customWidth="1"/>
    <col min="24" max="24" width="13.5546875" style="255" bestFit="1" customWidth="1"/>
    <col min="25" max="25" width="14.6640625" style="255" bestFit="1" customWidth="1"/>
    <col min="26" max="26" width="13.5546875" style="255" bestFit="1" customWidth="1"/>
    <col min="27" max="27" width="12.77734375" style="255" bestFit="1" customWidth="1"/>
    <col min="28" max="28" width="12.21875" style="255" bestFit="1" customWidth="1"/>
    <col min="29" max="30" width="12.77734375" style="255" bestFit="1" customWidth="1"/>
    <col min="31" max="31" width="13.77734375" style="255" customWidth="1"/>
    <col min="32" max="32" width="12.77734375" style="255" bestFit="1" customWidth="1"/>
    <col min="33" max="16384" width="8.88671875" style="255"/>
  </cols>
  <sheetData>
    <row r="1" spans="1:57" ht="41.25" customHeight="1" thickBot="1" x14ac:dyDescent="0.3">
      <c r="A1" s="519" t="s">
        <v>200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1"/>
      <c r="O1" s="522" t="s">
        <v>38</v>
      </c>
      <c r="P1" s="523"/>
      <c r="Q1" s="523"/>
      <c r="R1" s="523"/>
      <c r="S1" s="523"/>
      <c r="T1" s="523"/>
      <c r="U1" s="522" t="s">
        <v>39</v>
      </c>
      <c r="V1" s="523"/>
      <c r="W1" s="523"/>
      <c r="X1" s="523"/>
      <c r="Y1" s="523"/>
      <c r="Z1" s="524"/>
      <c r="AA1" s="525" t="s">
        <v>133</v>
      </c>
      <c r="AB1" s="526"/>
      <c r="AC1" s="526"/>
      <c r="AD1" s="526"/>
      <c r="AE1" s="526"/>
      <c r="AF1" s="526"/>
    </row>
    <row r="2" spans="1:57" s="265" customFormat="1" ht="50.4" x14ac:dyDescent="0.25">
      <c r="A2" s="256" t="s">
        <v>22</v>
      </c>
      <c r="B2" s="257" t="s">
        <v>26</v>
      </c>
      <c r="C2" s="258" t="s">
        <v>23</v>
      </c>
      <c r="D2" s="257" t="s">
        <v>24</v>
      </c>
      <c r="E2" s="257" t="s">
        <v>25</v>
      </c>
      <c r="F2" s="259" t="s">
        <v>27</v>
      </c>
      <c r="G2" s="257" t="s">
        <v>28</v>
      </c>
      <c r="H2" s="257" t="s">
        <v>29</v>
      </c>
      <c r="I2" s="260" t="s">
        <v>30</v>
      </c>
      <c r="J2" s="261" t="s">
        <v>31</v>
      </c>
      <c r="K2" s="257" t="s">
        <v>32</v>
      </c>
      <c r="L2" s="257" t="s">
        <v>33</v>
      </c>
      <c r="M2" s="257"/>
      <c r="N2" s="262" t="s">
        <v>34</v>
      </c>
      <c r="O2" s="263" t="s">
        <v>189</v>
      </c>
      <c r="P2" s="263" t="s">
        <v>2</v>
      </c>
      <c r="Q2" s="263" t="s">
        <v>3</v>
      </c>
      <c r="R2" s="263" t="s">
        <v>4</v>
      </c>
      <c r="S2" s="263" t="s">
        <v>5</v>
      </c>
      <c r="T2" s="263" t="s">
        <v>6</v>
      </c>
      <c r="U2" s="263" t="s">
        <v>188</v>
      </c>
      <c r="V2" s="263" t="s">
        <v>8</v>
      </c>
      <c r="W2" s="263" t="s">
        <v>9</v>
      </c>
      <c r="X2" s="263" t="s">
        <v>10</v>
      </c>
      <c r="Y2" s="263" t="s">
        <v>11</v>
      </c>
      <c r="Z2" s="264" t="s">
        <v>12</v>
      </c>
      <c r="AA2" s="274" t="s">
        <v>182</v>
      </c>
      <c r="AB2" s="275" t="s">
        <v>183</v>
      </c>
      <c r="AC2" s="275" t="s">
        <v>184</v>
      </c>
      <c r="AD2" s="275" t="s">
        <v>185</v>
      </c>
      <c r="AE2" s="275" t="s">
        <v>186</v>
      </c>
      <c r="AF2" s="276" t="s">
        <v>187</v>
      </c>
    </row>
    <row r="3" spans="1:57" s="265" customFormat="1" ht="13.2" thickBot="1" x14ac:dyDescent="0.3">
      <c r="A3" s="266">
        <f>'Pump coeff'!M4</f>
        <v>54.3</v>
      </c>
      <c r="B3" s="267">
        <f>'Pump coeff'!N4</f>
        <v>2.8245</v>
      </c>
      <c r="C3" s="268">
        <f>'Pump coeff'!O4</f>
        <v>500</v>
      </c>
      <c r="D3" s="267">
        <f>'Pump coeff'!P4</f>
        <v>52.245569806781255</v>
      </c>
      <c r="E3" s="267">
        <f>'Pump coeff'!Q4</f>
        <v>2.7212485692937505</v>
      </c>
      <c r="F3" s="268">
        <f>'Pump coeff'!R4</f>
        <v>7600</v>
      </c>
      <c r="G3" s="267">
        <f>'Pump coeff'!S4</f>
        <v>26.279702160517104</v>
      </c>
      <c r="H3" s="267">
        <f>'Pump coeff'!T4</f>
        <v>2.3771875742807049</v>
      </c>
      <c r="I3" s="269">
        <f>'Pump coeff'!U4</f>
        <v>61.881178052058523</v>
      </c>
      <c r="J3" s="268">
        <f>'Pump coeff'!V4</f>
        <v>11000</v>
      </c>
      <c r="K3" s="267">
        <f>'Pump coeff'!W4</f>
        <v>10.878983427000009</v>
      </c>
      <c r="L3" s="267">
        <f>'Pump coeff'!X4</f>
        <v>2.0764822614000007</v>
      </c>
      <c r="M3" s="270"/>
      <c r="N3" s="271">
        <f>'Pump coeff'!Z4</f>
        <v>12000</v>
      </c>
      <c r="O3" s="272">
        <f>'Pump coeff'!AA4</f>
        <v>54.3</v>
      </c>
      <c r="P3" s="272">
        <f>'Pump coeff'!AB4</f>
        <v>-4.5550820000000002E-3</v>
      </c>
      <c r="Q3" s="272">
        <f>'Pump coeff'!AC4</f>
        <v>1.031675E-6</v>
      </c>
      <c r="R3" s="272">
        <f>'Pump coeff'!AD4</f>
        <v>-2.9421260000000001E-10</v>
      </c>
      <c r="S3" s="272">
        <f>'Pump coeff'!AE4</f>
        <v>3.210864E-14</v>
      </c>
      <c r="T3" s="272">
        <f>'Pump coeff'!AF4</f>
        <v>-1.221063E-18</v>
      </c>
      <c r="U3" s="272">
        <f>'Pump coeff'!AG4</f>
        <v>2.8245</v>
      </c>
      <c r="V3" s="272">
        <f>'Pump coeff'!AH4</f>
        <v>-2.561385E-4</v>
      </c>
      <c r="W3" s="272">
        <f>'Pump coeff'!AI4</f>
        <v>1.1078640000000001E-7</v>
      </c>
      <c r="X3" s="272">
        <f>'Pump coeff'!AJ4</f>
        <v>-2.4189500000000001E-11</v>
      </c>
      <c r="Y3" s="272">
        <f>'Pump coeff'!AK4</f>
        <v>2.3610659999999999E-15</v>
      </c>
      <c r="Z3" s="273">
        <f>'Pump coeff'!AL4</f>
        <v>-8.51146E-20</v>
      </c>
      <c r="AA3" s="294"/>
      <c r="AB3" s="294"/>
      <c r="AC3" s="294"/>
      <c r="AD3" s="294"/>
      <c r="AE3" s="294"/>
      <c r="AF3" s="294"/>
    </row>
    <row r="4" spans="1:57" s="265" customFormat="1" ht="13.2" thickBot="1" x14ac:dyDescent="0.3">
      <c r="A4" s="527" t="s">
        <v>181</v>
      </c>
      <c r="B4" s="528"/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277">
        <v>49.358519999999999</v>
      </c>
      <c r="P4" s="277">
        <v>-2.062927E-4</v>
      </c>
      <c r="Q4" s="277">
        <v>-1.2784990000000001E-6</v>
      </c>
      <c r="R4" s="277">
        <v>1.1792989999999999E-10</v>
      </c>
      <c r="S4" s="277">
        <v>3.5272990000000001E-15</v>
      </c>
      <c r="T4" s="277">
        <v>-6.2870430000000003E-19</v>
      </c>
      <c r="U4" s="277">
        <v>2.4825529999999998</v>
      </c>
      <c r="V4" s="277">
        <v>9.7114869999999999E-5</v>
      </c>
      <c r="W4" s="277">
        <v>1.558449E-9</v>
      </c>
      <c r="X4" s="277">
        <v>-1.258005E-11</v>
      </c>
      <c r="Y4" s="277">
        <v>2.1633820000000001E-15</v>
      </c>
      <c r="Z4" s="278">
        <v>-1.018825E-19</v>
      </c>
      <c r="AA4" s="427">
        <v>-0.18490090000000001</v>
      </c>
      <c r="AB4" s="428">
        <v>1.5043600000000001E-2</v>
      </c>
      <c r="AC4" s="428">
        <v>-1.2444140000000001E-6</v>
      </c>
      <c r="AD4" s="428">
        <v>-6.8231700000000005E-11</v>
      </c>
      <c r="AE4" s="428">
        <v>2.3063790000000001E-14</v>
      </c>
      <c r="AF4" s="429">
        <v>-1.641497E-18</v>
      </c>
    </row>
    <row r="5" spans="1:57" ht="13.2" thickBot="1" x14ac:dyDescent="0.3">
      <c r="A5" s="529" t="s">
        <v>76</v>
      </c>
      <c r="B5" s="530"/>
      <c r="C5" s="531"/>
      <c r="D5" s="529" t="s">
        <v>84</v>
      </c>
      <c r="E5" s="530"/>
      <c r="F5" s="532"/>
      <c r="G5" s="532"/>
      <c r="H5" s="532"/>
      <c r="I5" s="533"/>
      <c r="J5" s="279"/>
      <c r="K5" s="279"/>
      <c r="L5" s="279"/>
      <c r="M5" s="279"/>
      <c r="N5" s="279"/>
      <c r="AA5" s="534" t="s">
        <v>199</v>
      </c>
      <c r="AB5" s="535"/>
      <c r="AC5" s="535"/>
      <c r="AD5" s="536"/>
    </row>
    <row r="6" spans="1:57" ht="38.25" customHeight="1" thickBot="1" x14ac:dyDescent="0.3">
      <c r="A6" s="281"/>
      <c r="B6" s="282"/>
      <c r="C6" s="283"/>
      <c r="D6" s="505" t="s">
        <v>85</v>
      </c>
      <c r="E6" s="506"/>
      <c r="F6" s="505" t="s">
        <v>86</v>
      </c>
      <c r="G6" s="506"/>
      <c r="H6" s="284"/>
      <c r="I6" s="285"/>
      <c r="J6" s="279"/>
      <c r="K6" s="279"/>
      <c r="L6" s="279"/>
      <c r="M6" s="279"/>
      <c r="N6" s="279"/>
      <c r="AA6" s="286"/>
      <c r="AB6" s="287"/>
      <c r="AC6" s="288"/>
      <c r="AD6" s="289"/>
    </row>
    <row r="7" spans="1:57" x14ac:dyDescent="0.25">
      <c r="A7" s="274" t="s">
        <v>70</v>
      </c>
      <c r="B7" s="275" t="s">
        <v>72</v>
      </c>
      <c r="C7" s="276" t="s">
        <v>74</v>
      </c>
      <c r="D7" s="274" t="s">
        <v>78</v>
      </c>
      <c r="E7" s="275" t="s">
        <v>81</v>
      </c>
      <c r="F7" s="275" t="s">
        <v>80</v>
      </c>
      <c r="G7" s="275" t="s">
        <v>79</v>
      </c>
      <c r="H7" s="275" t="s">
        <v>82</v>
      </c>
      <c r="I7" s="276" t="s">
        <v>83</v>
      </c>
      <c r="J7" s="290"/>
      <c r="K7" s="290"/>
      <c r="L7" s="290"/>
      <c r="M7" s="290"/>
      <c r="N7" s="290"/>
      <c r="AA7" s="274" t="s">
        <v>70</v>
      </c>
      <c r="AB7" s="275" t="s">
        <v>72</v>
      </c>
      <c r="AC7" s="291" t="s">
        <v>74</v>
      </c>
      <c r="AD7" s="292" t="s">
        <v>135</v>
      </c>
    </row>
    <row r="8" spans="1:57" ht="13.2" thickBot="1" x14ac:dyDescent="0.3">
      <c r="A8" s="293" t="s">
        <v>71</v>
      </c>
      <c r="B8" s="294" t="s">
        <v>73</v>
      </c>
      <c r="C8" s="295" t="s">
        <v>75</v>
      </c>
      <c r="D8" s="293" t="s">
        <v>71</v>
      </c>
      <c r="E8" s="294" t="s">
        <v>73</v>
      </c>
      <c r="F8" s="294" t="s">
        <v>71</v>
      </c>
      <c r="G8" s="294" t="s">
        <v>73</v>
      </c>
      <c r="H8" s="294" t="s">
        <v>75</v>
      </c>
      <c r="I8" s="295" t="s">
        <v>75</v>
      </c>
      <c r="J8" s="518" t="s">
        <v>98</v>
      </c>
      <c r="K8" s="489"/>
      <c r="L8" s="489"/>
      <c r="M8" s="489"/>
      <c r="N8" s="290"/>
      <c r="AA8" s="293" t="s">
        <v>71</v>
      </c>
      <c r="AB8" s="294" t="s">
        <v>73</v>
      </c>
      <c r="AC8" s="296" t="s">
        <v>75</v>
      </c>
      <c r="AD8" s="297" t="s">
        <v>92</v>
      </c>
    </row>
    <row r="9" spans="1:57" x14ac:dyDescent="0.25">
      <c r="A9" s="298">
        <v>0</v>
      </c>
      <c r="B9" s="299">
        <f>O3</f>
        <v>54.3</v>
      </c>
      <c r="C9" s="300">
        <f>U3</f>
        <v>2.8245</v>
      </c>
      <c r="D9" s="298"/>
      <c r="E9" s="299"/>
      <c r="F9" s="301"/>
      <c r="G9" s="299"/>
      <c r="H9" s="301"/>
      <c r="I9" s="302"/>
      <c r="J9" s="303">
        <f>A11</f>
        <v>500</v>
      </c>
      <c r="K9" s="255">
        <v>0</v>
      </c>
      <c r="L9" s="255">
        <v>0</v>
      </c>
      <c r="M9" s="255">
        <v>0</v>
      </c>
      <c r="AA9" s="304">
        <f>A9</f>
        <v>0</v>
      </c>
      <c r="AB9" s="305">
        <f>O4</f>
        <v>49.358519999999999</v>
      </c>
      <c r="AC9" s="306">
        <f>U4</f>
        <v>2.4825529999999998</v>
      </c>
      <c r="AD9" s="424">
        <f>AA4</f>
        <v>-0.18490090000000001</v>
      </c>
    </row>
    <row r="10" spans="1:57" x14ac:dyDescent="0.25">
      <c r="A10" s="307">
        <f>(A9+A11)/2</f>
        <v>250</v>
      </c>
      <c r="B10" s="308">
        <f t="shared" ref="B10:B21" si="0">$O$3+$P$3*A10+$Q$3*A10^2+$R$3*A10^3+$S$3*A10^4+$T$3*A10^5</f>
        <v>53.22123634755566</v>
      </c>
      <c r="C10" s="309">
        <f t="shared" ref="C10:C21" si="1">$U$3+$V$3*A10+$W$3*A10^2+$X$3*A10^3+$Y$3*A10^4+$Z$3*A10^5</f>
        <v>2.767020703856836</v>
      </c>
      <c r="D10" s="307"/>
      <c r="E10" s="308"/>
      <c r="F10" s="310"/>
      <c r="G10" s="308"/>
      <c r="H10" s="310"/>
      <c r="I10" s="311"/>
      <c r="J10" s="303">
        <f>A11</f>
        <v>500</v>
      </c>
      <c r="K10" s="255">
        <v>60</v>
      </c>
      <c r="L10" s="255">
        <v>3.5</v>
      </c>
      <c r="M10" s="255">
        <v>70</v>
      </c>
      <c r="AA10" s="307">
        <f t="shared" ref="AA10:AA21" si="2">A10</f>
        <v>250</v>
      </c>
      <c r="AB10" s="308">
        <f>$O$4+$P$4*A10+$Q$4*A10^2+$R$4*A10^3+$S$4*A10^4+$T$4*A10^5</f>
        <v>49.228896456730176</v>
      </c>
      <c r="AC10" s="312">
        <f>$U$4+$V$4*AA10+$W$4*AA10^2+$X$4*AA10^3+$Y$4*AA10^4+$Z$4*AA10^5</f>
        <v>2.5067409084975587</v>
      </c>
      <c r="AD10" s="425">
        <f>$AA$4+$AB$4*AA10+$AC$4*AA10^2+$AD$4*AA10^3+$AE$4*AA10^4+$AF$4*AA10^5</f>
        <v>3.4972455945927736</v>
      </c>
    </row>
    <row r="11" spans="1:57" s="319" customFormat="1" x14ac:dyDescent="0.25">
      <c r="A11" s="313">
        <f>$C$3</f>
        <v>500</v>
      </c>
      <c r="B11" s="314">
        <f t="shared" si="0"/>
        <v>52.245569806781255</v>
      </c>
      <c r="C11" s="315">
        <f t="shared" si="1"/>
        <v>2.7212485692937505</v>
      </c>
      <c r="D11" s="316">
        <f t="shared" ref="D11:D19" si="3">0.95*A11</f>
        <v>475</v>
      </c>
      <c r="E11" s="314">
        <f t="shared" ref="E11:E19" si="4">($O$3+$P$3*D11+$Q$3*D11^2+$R$3*D11^3+$S$3*D11^4+$T$3*D11^5)*1.05</f>
        <v>54.956140493918511</v>
      </c>
      <c r="F11" s="317">
        <f t="shared" ref="F11:F19" si="5">1.05*A11</f>
        <v>525</v>
      </c>
      <c r="G11" s="314">
        <f t="shared" ref="G11:G19" si="6">($O$3+$P$3*F11+$Q$3*F11^2+$R$3*F11^3+$S$3*F11^4+$T$3*F11^5)*0.95</f>
        <v>49.545116731677162</v>
      </c>
      <c r="H11" s="314">
        <f t="shared" ref="H11:H19" si="7">C11*0.92</f>
        <v>2.5035486837502505</v>
      </c>
      <c r="I11" s="315">
        <f t="shared" ref="I11:I19" si="8">1.08*C11</f>
        <v>2.9389484548372509</v>
      </c>
      <c r="J11" s="491" t="s">
        <v>96</v>
      </c>
      <c r="K11" s="489"/>
      <c r="L11" s="489"/>
      <c r="M11" s="489"/>
      <c r="N11" s="318"/>
      <c r="Q11" s="320"/>
      <c r="R11" s="320"/>
      <c r="S11" s="320"/>
      <c r="T11" s="320"/>
      <c r="AA11" s="307">
        <f t="shared" si="2"/>
        <v>500</v>
      </c>
      <c r="AB11" s="308">
        <f t="shared" ref="AB11:AB21" si="9">$O$4+$P$4*A11+$Q$4*A11^2+$R$4*A11^3+$S$4*A11^4+$T$4*A11^5</f>
        <v>48.950690946678115</v>
      </c>
      <c r="AC11" s="312">
        <f t="shared" ref="AC11:AC21" si="10">$U$4+$V$4*AA11+$W$4*AA11^2+$X$4*AA11^3+$Y$4*AA11^4+$Z$4*AA11^5</f>
        <v>2.5300595685468745</v>
      </c>
      <c r="AD11" s="425">
        <f t="shared" ref="AD11:AD21" si="11">$AA$4+$AB$4*AA11+$AC$4*AA11^2+$AD$4*AA11^3+$AE$4*AA11^4+$AF$4*AA11^5</f>
        <v>7.0186568275937509</v>
      </c>
      <c r="AE11" s="318"/>
      <c r="AF11" s="318"/>
      <c r="AG11" s="318"/>
      <c r="AH11" s="318"/>
      <c r="AI11" s="318"/>
      <c r="AJ11" s="318"/>
      <c r="AK11" s="318"/>
      <c r="AL11" s="318"/>
      <c r="AM11" s="318"/>
      <c r="AN11" s="318"/>
      <c r="AO11" s="318"/>
      <c r="AP11" s="318"/>
      <c r="AQ11" s="318"/>
      <c r="AR11" s="318"/>
      <c r="AS11" s="318"/>
      <c r="AT11" s="318"/>
      <c r="AU11" s="318"/>
      <c r="AV11" s="318"/>
      <c r="AW11" s="318"/>
      <c r="AX11" s="318"/>
      <c r="AY11" s="318"/>
      <c r="AZ11" s="318"/>
      <c r="BA11" s="318"/>
      <c r="BB11" s="318"/>
      <c r="BC11" s="318"/>
      <c r="BD11" s="318"/>
      <c r="BE11" s="318"/>
    </row>
    <row r="12" spans="1:57" x14ac:dyDescent="0.25">
      <c r="A12" s="307">
        <f>(A11+A13)/2</f>
        <v>2275</v>
      </c>
      <c r="B12" s="308">
        <f t="shared" si="0"/>
        <v>46.598216124680064</v>
      </c>
      <c r="C12" s="309">
        <f t="shared" si="1"/>
        <v>2.5884125314547242</v>
      </c>
      <c r="D12" s="307">
        <f t="shared" si="3"/>
        <v>2161.25</v>
      </c>
      <c r="E12" s="308">
        <f t="shared" si="4"/>
        <v>49.294480775551101</v>
      </c>
      <c r="F12" s="310">
        <f t="shared" si="5"/>
        <v>2388.75</v>
      </c>
      <c r="G12" s="308">
        <f t="shared" si="6"/>
        <v>43.933824081786462</v>
      </c>
      <c r="H12" s="308">
        <f t="shared" si="7"/>
        <v>2.3813395289383466</v>
      </c>
      <c r="I12" s="309">
        <f t="shared" si="8"/>
        <v>2.7954855339711022</v>
      </c>
      <c r="J12" s="321">
        <f>A15</f>
        <v>7600</v>
      </c>
      <c r="K12" s="318">
        <v>0</v>
      </c>
      <c r="L12" s="318">
        <v>0</v>
      </c>
      <c r="M12" s="318">
        <v>0</v>
      </c>
      <c r="N12" s="318"/>
      <c r="AA12" s="307">
        <f t="shared" si="2"/>
        <v>2275</v>
      </c>
      <c r="AB12" s="308">
        <f t="shared" si="9"/>
        <v>43.716916304623318</v>
      </c>
      <c r="AC12" s="312">
        <f t="shared" si="10"/>
        <v>2.6151728210666851</v>
      </c>
      <c r="AD12" s="425">
        <f t="shared" si="11"/>
        <v>27.313049578833155</v>
      </c>
      <c r="AE12" s="318"/>
      <c r="AF12" s="318"/>
      <c r="AG12" s="318"/>
      <c r="AH12" s="318"/>
      <c r="AI12" s="318"/>
      <c r="AJ12" s="318"/>
      <c r="AK12" s="318"/>
      <c r="AL12" s="318"/>
      <c r="AM12" s="318"/>
      <c r="AN12" s="318"/>
      <c r="AO12" s="318"/>
      <c r="AP12" s="318"/>
      <c r="AQ12" s="318"/>
      <c r="AR12" s="318"/>
      <c r="AS12" s="318"/>
      <c r="AT12" s="318"/>
      <c r="AU12" s="318"/>
      <c r="AV12" s="318"/>
      <c r="AW12" s="318"/>
      <c r="AX12" s="318"/>
      <c r="AY12" s="318"/>
      <c r="AZ12" s="318"/>
      <c r="BA12" s="318"/>
      <c r="BB12" s="318"/>
      <c r="BC12" s="318"/>
      <c r="BD12" s="318"/>
      <c r="BE12" s="318"/>
    </row>
    <row r="13" spans="1:57" x14ac:dyDescent="0.25">
      <c r="A13" s="307">
        <f>(A11+A15)/2</f>
        <v>4050</v>
      </c>
      <c r="B13" s="308">
        <f t="shared" si="0"/>
        <v>40.537465397409534</v>
      </c>
      <c r="C13" s="309">
        <f t="shared" si="1"/>
        <v>2.5398848447232392</v>
      </c>
      <c r="D13" s="307">
        <f t="shared" si="3"/>
        <v>3847.5</v>
      </c>
      <c r="E13" s="308">
        <f t="shared" si="4"/>
        <v>43.360902274433364</v>
      </c>
      <c r="F13" s="310">
        <f t="shared" si="5"/>
        <v>4252.5</v>
      </c>
      <c r="G13" s="308">
        <f t="shared" si="6"/>
        <v>37.774785601973889</v>
      </c>
      <c r="H13" s="308">
        <f t="shared" si="7"/>
        <v>2.33669405714538</v>
      </c>
      <c r="I13" s="309">
        <f t="shared" si="8"/>
        <v>2.7430756323010983</v>
      </c>
      <c r="J13" s="321">
        <f>A15</f>
        <v>7600</v>
      </c>
      <c r="K13" s="318">
        <v>60</v>
      </c>
      <c r="L13" s="318">
        <v>3.5</v>
      </c>
      <c r="M13" s="318">
        <v>70</v>
      </c>
      <c r="N13" s="318"/>
      <c r="AA13" s="307">
        <f t="shared" si="2"/>
        <v>4050</v>
      </c>
      <c r="AB13" s="308">
        <f t="shared" si="9"/>
        <v>35.650495457190601</v>
      </c>
      <c r="AC13" s="312">
        <f t="shared" si="10"/>
        <v>2.5367638003642363</v>
      </c>
      <c r="AD13" s="425">
        <f t="shared" si="11"/>
        <v>40.214058271526099</v>
      </c>
      <c r="AE13" s="318"/>
      <c r="AF13" s="318"/>
      <c r="AG13" s="318"/>
      <c r="AH13" s="318"/>
      <c r="AI13" s="318"/>
      <c r="AJ13" s="318"/>
      <c r="AK13" s="318"/>
      <c r="AL13" s="318"/>
      <c r="AM13" s="318"/>
      <c r="AN13" s="318"/>
      <c r="AO13" s="318"/>
      <c r="AP13" s="318"/>
      <c r="AQ13" s="318"/>
      <c r="AR13" s="318"/>
      <c r="AS13" s="318"/>
      <c r="AT13" s="318"/>
      <c r="AU13" s="318"/>
      <c r="AV13" s="318"/>
      <c r="AW13" s="318"/>
      <c r="AX13" s="318"/>
      <c r="AY13" s="318"/>
      <c r="AZ13" s="318"/>
      <c r="BA13" s="318"/>
      <c r="BB13" s="318"/>
      <c r="BC13" s="318"/>
      <c r="BD13" s="318"/>
      <c r="BE13" s="318"/>
    </row>
    <row r="14" spans="1:57" x14ac:dyDescent="0.25">
      <c r="A14" s="307">
        <f>(A13+A15)/2</f>
        <v>5825</v>
      </c>
      <c r="B14" s="308">
        <f t="shared" si="0"/>
        <v>33.399631371634094</v>
      </c>
      <c r="C14" s="309">
        <f t="shared" si="1"/>
        <v>2.4580554235397249</v>
      </c>
      <c r="D14" s="307">
        <f t="shared" si="3"/>
        <v>5533.75</v>
      </c>
      <c r="E14" s="308">
        <f t="shared" si="4"/>
        <v>36.332462867010086</v>
      </c>
      <c r="F14" s="310">
        <f t="shared" si="5"/>
        <v>6116.25</v>
      </c>
      <c r="G14" s="308">
        <f t="shared" si="6"/>
        <v>30.589236341325019</v>
      </c>
      <c r="H14" s="308">
        <f t="shared" si="7"/>
        <v>2.2614109896565471</v>
      </c>
      <c r="I14" s="309">
        <f t="shared" si="8"/>
        <v>2.6546998574229033</v>
      </c>
      <c r="J14" s="491" t="s">
        <v>99</v>
      </c>
      <c r="K14" s="489"/>
      <c r="L14" s="489"/>
      <c r="M14" s="489"/>
      <c r="N14" s="318"/>
      <c r="AA14" s="307">
        <f t="shared" si="2"/>
        <v>5825</v>
      </c>
      <c r="AB14" s="308">
        <f t="shared" si="9"/>
        <v>27.929642264741499</v>
      </c>
      <c r="AC14" s="312">
        <f t="shared" si="10"/>
        <v>2.422155956785792</v>
      </c>
      <c r="AD14" s="425">
        <f t="shared" si="11"/>
        <v>47.279371065871132</v>
      </c>
      <c r="AE14" s="318"/>
      <c r="AF14" s="318"/>
      <c r="AG14" s="318"/>
      <c r="AH14" s="318"/>
      <c r="AI14" s="318"/>
      <c r="AJ14" s="318"/>
      <c r="AK14" s="318"/>
      <c r="AL14" s="318"/>
      <c r="AM14" s="318"/>
      <c r="AN14" s="318"/>
      <c r="AO14" s="318"/>
      <c r="AP14" s="318"/>
      <c r="AQ14" s="318"/>
      <c r="AR14" s="318"/>
      <c r="AS14" s="318"/>
      <c r="AT14" s="318"/>
      <c r="AU14" s="318"/>
      <c r="AV14" s="318"/>
      <c r="AW14" s="318"/>
      <c r="AX14" s="318"/>
      <c r="AY14" s="318"/>
      <c r="AZ14" s="318"/>
      <c r="BA14" s="318"/>
      <c r="BB14" s="318"/>
      <c r="BC14" s="318"/>
      <c r="BD14" s="318"/>
      <c r="BE14" s="318"/>
    </row>
    <row r="15" spans="1:57" s="319" customFormat="1" x14ac:dyDescent="0.25">
      <c r="A15" s="313">
        <f>$F$3</f>
        <v>7600</v>
      </c>
      <c r="B15" s="314">
        <f t="shared" si="0"/>
        <v>26.279702160517104</v>
      </c>
      <c r="C15" s="315">
        <f t="shared" si="1"/>
        <v>2.3771875742807049</v>
      </c>
      <c r="D15" s="316">
        <f t="shared" si="3"/>
        <v>7220</v>
      </c>
      <c r="E15" s="314">
        <f t="shared" si="4"/>
        <v>29.142190385995498</v>
      </c>
      <c r="F15" s="317">
        <f t="shared" si="5"/>
        <v>7980</v>
      </c>
      <c r="G15" s="314">
        <f t="shared" si="6"/>
        <v>23.589097694949103</v>
      </c>
      <c r="H15" s="314">
        <f t="shared" si="7"/>
        <v>2.1870125683382486</v>
      </c>
      <c r="I15" s="315">
        <f t="shared" si="8"/>
        <v>2.5673625802231617</v>
      </c>
      <c r="J15" s="321">
        <f>A19</f>
        <v>11000</v>
      </c>
      <c r="K15" s="318">
        <v>0</v>
      </c>
      <c r="L15" s="318">
        <v>0</v>
      </c>
      <c r="M15" s="318">
        <v>0</v>
      </c>
      <c r="N15" s="318"/>
      <c r="Q15" s="320"/>
      <c r="R15" s="320"/>
      <c r="S15" s="320"/>
      <c r="T15" s="320"/>
      <c r="AA15" s="307">
        <f t="shared" si="2"/>
        <v>7600</v>
      </c>
      <c r="AB15" s="308">
        <f t="shared" si="9"/>
        <v>21.539868960159218</v>
      </c>
      <c r="AC15" s="312">
        <f t="shared" si="10"/>
        <v>2.4225584601600008</v>
      </c>
      <c r="AD15" s="425">
        <f t="shared" si="11"/>
        <v>47.642276860225287</v>
      </c>
      <c r="AE15" s="318"/>
      <c r="AF15" s="318"/>
      <c r="AG15" s="318"/>
      <c r="AH15" s="318"/>
      <c r="AI15" s="318"/>
      <c r="AJ15" s="318"/>
      <c r="AK15" s="318"/>
      <c r="AL15" s="318"/>
      <c r="AM15" s="318"/>
      <c r="AN15" s="318"/>
      <c r="AO15" s="318"/>
      <c r="AP15" s="318"/>
      <c r="AQ15" s="318"/>
      <c r="AR15" s="318"/>
      <c r="AS15" s="318"/>
      <c r="AT15" s="318"/>
      <c r="AU15" s="318"/>
      <c r="AV15" s="318"/>
      <c r="AW15" s="318"/>
      <c r="AX15" s="318"/>
      <c r="AY15" s="318"/>
      <c r="AZ15" s="318"/>
      <c r="BA15" s="318"/>
      <c r="BB15" s="318"/>
      <c r="BC15" s="318"/>
      <c r="BD15" s="318"/>
      <c r="BE15" s="318"/>
    </row>
    <row r="16" spans="1:57" x14ac:dyDescent="0.25">
      <c r="A16" s="307">
        <f>(A15+A17)/2</f>
        <v>8450</v>
      </c>
      <c r="B16" s="308">
        <f t="shared" si="0"/>
        <v>23.055908562691634</v>
      </c>
      <c r="C16" s="309">
        <f t="shared" si="1"/>
        <v>2.3464532565127567</v>
      </c>
      <c r="D16" s="307">
        <f t="shared" si="3"/>
        <v>8027.5</v>
      </c>
      <c r="E16" s="308">
        <f t="shared" si="4"/>
        <v>25.883351678633328</v>
      </c>
      <c r="F16" s="310">
        <f t="shared" si="5"/>
        <v>8872.5</v>
      </c>
      <c r="G16" s="308">
        <f t="shared" si="6"/>
        <v>20.373858005058374</v>
      </c>
      <c r="H16" s="308">
        <f t="shared" si="7"/>
        <v>2.1587369959917364</v>
      </c>
      <c r="I16" s="309">
        <f t="shared" si="8"/>
        <v>2.5341695170337775</v>
      </c>
      <c r="J16" s="321">
        <f>A19</f>
        <v>11000</v>
      </c>
      <c r="K16" s="318">
        <v>60</v>
      </c>
      <c r="L16" s="318">
        <v>3.5</v>
      </c>
      <c r="M16" s="318">
        <v>70</v>
      </c>
      <c r="N16" s="318"/>
      <c r="AA16" s="307">
        <f t="shared" si="2"/>
        <v>8450</v>
      </c>
      <c r="AB16" s="308">
        <f t="shared" si="9"/>
        <v>18.378677333659461</v>
      </c>
      <c r="AC16" s="312">
        <f t="shared" si="10"/>
        <v>2.4646932915920923</v>
      </c>
      <c r="AD16" s="425">
        <f t="shared" si="11"/>
        <v>43.781119296585572</v>
      </c>
      <c r="AE16" s="318"/>
      <c r="AF16" s="318"/>
      <c r="AG16" s="318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8"/>
      <c r="AX16" s="318"/>
      <c r="AY16" s="318"/>
      <c r="AZ16" s="318"/>
      <c r="BA16" s="318"/>
      <c r="BB16" s="318"/>
      <c r="BC16" s="318"/>
      <c r="BD16" s="318"/>
      <c r="BE16" s="318"/>
    </row>
    <row r="17" spans="1:57" x14ac:dyDescent="0.25">
      <c r="A17" s="307">
        <f>(A15+A19)/2</f>
        <v>9300</v>
      </c>
      <c r="B17" s="308">
        <f t="shared" si="0"/>
        <v>19.756738027207419</v>
      </c>
      <c r="C17" s="309">
        <f t="shared" si="1"/>
        <v>2.308011977164421</v>
      </c>
      <c r="D17" s="307">
        <f t="shared" si="3"/>
        <v>8835</v>
      </c>
      <c r="E17" s="308">
        <f t="shared" si="4"/>
        <v>22.670211021019703</v>
      </c>
      <c r="F17" s="310">
        <f t="shared" si="5"/>
        <v>9765</v>
      </c>
      <c r="G17" s="308">
        <f t="shared" si="6"/>
        <v>16.886386393688504</v>
      </c>
      <c r="H17" s="308">
        <f t="shared" si="7"/>
        <v>2.1233710189912673</v>
      </c>
      <c r="I17" s="309">
        <f t="shared" si="8"/>
        <v>2.4926529353375746</v>
      </c>
      <c r="J17" s="318"/>
      <c r="K17" s="318"/>
      <c r="L17" s="318"/>
      <c r="M17" s="318"/>
      <c r="N17" s="318"/>
      <c r="AA17" s="307">
        <f t="shared" si="2"/>
        <v>9300</v>
      </c>
      <c r="AB17" s="308">
        <f t="shared" si="9"/>
        <v>14.368164098620092</v>
      </c>
      <c r="AC17" s="312">
        <f t="shared" si="10"/>
        <v>2.4970357736174744</v>
      </c>
      <c r="AD17" s="425">
        <f t="shared" si="11"/>
        <v>35.5406742861948</v>
      </c>
      <c r="AE17" s="318"/>
      <c r="AF17" s="318"/>
      <c r="AG17" s="318"/>
      <c r="AH17" s="318"/>
      <c r="AI17" s="318"/>
      <c r="AJ17" s="318"/>
      <c r="AK17" s="318"/>
      <c r="AL17" s="318"/>
      <c r="AM17" s="318"/>
      <c r="AN17" s="318"/>
      <c r="AO17" s="318"/>
      <c r="AP17" s="318"/>
      <c r="AQ17" s="318"/>
      <c r="AR17" s="318"/>
      <c r="AS17" s="318"/>
      <c r="AT17" s="318"/>
      <c r="AU17" s="318"/>
      <c r="AV17" s="318"/>
      <c r="AW17" s="318"/>
      <c r="AX17" s="318"/>
      <c r="AY17" s="318"/>
      <c r="AZ17" s="318"/>
      <c r="BA17" s="318"/>
      <c r="BB17" s="318"/>
      <c r="BC17" s="318"/>
      <c r="BD17" s="318"/>
      <c r="BE17" s="318"/>
    </row>
    <row r="18" spans="1:57" x14ac:dyDescent="0.25">
      <c r="A18" s="307">
        <f>(A17+A19)/2</f>
        <v>10150</v>
      </c>
      <c r="B18" s="308">
        <f t="shared" si="0"/>
        <v>15.946139712867335</v>
      </c>
      <c r="C18" s="309">
        <f t="shared" si="1"/>
        <v>2.2339832894354554</v>
      </c>
      <c r="D18" s="307">
        <f t="shared" si="3"/>
        <v>9642.5</v>
      </c>
      <c r="E18" s="308">
        <f t="shared" si="4"/>
        <v>19.232937014906632</v>
      </c>
      <c r="F18" s="310">
        <f t="shared" si="5"/>
        <v>10657.5</v>
      </c>
      <c r="G18" s="308">
        <f t="shared" si="6"/>
        <v>12.477690658235751</v>
      </c>
      <c r="H18" s="308">
        <f t="shared" si="7"/>
        <v>2.0552646262806191</v>
      </c>
      <c r="I18" s="309">
        <f t="shared" si="8"/>
        <v>2.4127019525902922</v>
      </c>
      <c r="J18" s="318"/>
      <c r="K18" s="318"/>
      <c r="L18" s="318"/>
      <c r="M18" s="318"/>
      <c r="N18" s="318"/>
      <c r="AA18" s="307">
        <f t="shared" si="2"/>
        <v>10150</v>
      </c>
      <c r="AB18" s="308">
        <f t="shared" si="9"/>
        <v>8.5753894146402558</v>
      </c>
      <c r="AC18" s="312">
        <f t="shared" si="10"/>
        <v>2.4598472573909049</v>
      </c>
      <c r="AD18" s="425">
        <f t="shared" si="11"/>
        <v>20.911399005787189</v>
      </c>
      <c r="AE18" s="318"/>
      <c r="AF18" s="318"/>
      <c r="AG18" s="318"/>
      <c r="AH18" s="318"/>
      <c r="AI18" s="318"/>
      <c r="AJ18" s="318"/>
      <c r="AK18" s="318"/>
      <c r="AL18" s="318"/>
      <c r="AM18" s="318"/>
      <c r="AN18" s="318"/>
      <c r="AO18" s="318"/>
      <c r="AP18" s="318"/>
      <c r="AQ18" s="318"/>
      <c r="AR18" s="318"/>
      <c r="AS18" s="318"/>
      <c r="AT18" s="318"/>
      <c r="AU18" s="318"/>
      <c r="AV18" s="318"/>
      <c r="AW18" s="318"/>
      <c r="AX18" s="318"/>
      <c r="AY18" s="318"/>
      <c r="AZ18" s="318"/>
      <c r="BA18" s="318"/>
      <c r="BB18" s="318"/>
      <c r="BC18" s="318"/>
      <c r="BD18" s="318"/>
      <c r="BE18" s="318"/>
    </row>
    <row r="19" spans="1:57" s="319" customFormat="1" x14ac:dyDescent="0.25">
      <c r="A19" s="313">
        <f>$J$3</f>
        <v>11000</v>
      </c>
      <c r="B19" s="314">
        <f t="shared" si="0"/>
        <v>10.878983427000009</v>
      </c>
      <c r="C19" s="315">
        <f t="shared" si="1"/>
        <v>2.0764822614000007</v>
      </c>
      <c r="D19" s="316">
        <f t="shared" si="3"/>
        <v>10450</v>
      </c>
      <c r="E19" s="314">
        <f t="shared" si="4"/>
        <v>15.06778191805973</v>
      </c>
      <c r="F19" s="317">
        <f t="shared" si="5"/>
        <v>11550</v>
      </c>
      <c r="G19" s="314">
        <f t="shared" si="6"/>
        <v>6.100804721708883</v>
      </c>
      <c r="H19" s="314">
        <f t="shared" si="7"/>
        <v>1.9103636804880006</v>
      </c>
      <c r="I19" s="315">
        <f t="shared" si="8"/>
        <v>2.242600842312001</v>
      </c>
      <c r="J19" s="318"/>
      <c r="K19" s="318"/>
      <c r="L19" s="318"/>
      <c r="M19" s="318"/>
      <c r="N19" s="318"/>
      <c r="Q19" s="320"/>
      <c r="R19" s="320"/>
      <c r="S19" s="320"/>
      <c r="T19" s="320"/>
      <c r="AA19" s="307">
        <f t="shared" si="2"/>
        <v>11000</v>
      </c>
      <c r="AB19" s="308">
        <f t="shared" si="9"/>
        <v>-0.25465336030005403</v>
      </c>
      <c r="AC19" s="312">
        <f t="shared" si="10"/>
        <v>2.2611397034999996</v>
      </c>
      <c r="AD19" s="425">
        <f t="shared" si="11"/>
        <v>-2.7835715570000161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8"/>
      <c r="AV19" s="318"/>
      <c r="AW19" s="318"/>
      <c r="AX19" s="318"/>
      <c r="AY19" s="318"/>
      <c r="AZ19" s="318"/>
      <c r="BA19" s="318"/>
      <c r="BB19" s="318"/>
      <c r="BC19" s="318"/>
      <c r="BD19" s="318"/>
      <c r="BE19" s="318"/>
    </row>
    <row r="20" spans="1:57" x14ac:dyDescent="0.25">
      <c r="A20" s="307">
        <f>(A19+A21)/2</f>
        <v>11500</v>
      </c>
      <c r="B20" s="308">
        <f t="shared" si="0"/>
        <v>6.8777239709687876</v>
      </c>
      <c r="C20" s="309">
        <f t="shared" si="1"/>
        <v>1.9168084970062509</v>
      </c>
      <c r="D20" s="307"/>
      <c r="E20" s="308"/>
      <c r="F20" s="310"/>
      <c r="G20" s="308"/>
      <c r="H20" s="310"/>
      <c r="I20" s="311"/>
      <c r="M20" s="255">
        <v>54.3</v>
      </c>
      <c r="AA20" s="307">
        <f t="shared" si="2"/>
        <v>11500</v>
      </c>
      <c r="AB20" s="308">
        <f t="shared" si="9"/>
        <v>-7.5009134330281597</v>
      </c>
      <c r="AC20" s="312">
        <f t="shared" si="10"/>
        <v>2.0182718673281279</v>
      </c>
      <c r="AD20" s="425">
        <f t="shared" si="11"/>
        <v>-22.305689471593723</v>
      </c>
    </row>
    <row r="21" spans="1:57" ht="13.2" thickBot="1" x14ac:dyDescent="0.3">
      <c r="A21" s="322">
        <f>$N$3</f>
        <v>12000</v>
      </c>
      <c r="B21" s="323">
        <f t="shared" si="0"/>
        <v>1.7660538239999255</v>
      </c>
      <c r="C21" s="324">
        <f t="shared" si="1"/>
        <v>1.6844520287999956</v>
      </c>
      <c r="D21" s="322"/>
      <c r="E21" s="323"/>
      <c r="F21" s="325"/>
      <c r="G21" s="323"/>
      <c r="H21" s="325"/>
      <c r="I21" s="326"/>
      <c r="AA21" s="322">
        <f t="shared" si="2"/>
        <v>12000</v>
      </c>
      <c r="AB21" s="323">
        <f t="shared" si="9"/>
        <v>-16.737657513600055</v>
      </c>
      <c r="AC21" s="327">
        <f t="shared" si="10"/>
        <v>1.6422846080000042</v>
      </c>
      <c r="AD21" s="426">
        <f t="shared" si="11"/>
        <v>-46.967926564000038</v>
      </c>
    </row>
    <row r="49" spans="1:32" ht="13.2" x14ac:dyDescent="0.25">
      <c r="X49" s="507"/>
      <c r="Y49" s="507"/>
    </row>
    <row r="50" spans="1:32" ht="13.2" thickBot="1" x14ac:dyDescent="0.3">
      <c r="X50" s="328"/>
      <c r="Y50" s="329"/>
    </row>
    <row r="51" spans="1:32" ht="13.2" thickBot="1" x14ac:dyDescent="0.3">
      <c r="A51" s="508" t="s">
        <v>164</v>
      </c>
      <c r="B51" s="509"/>
      <c r="C51" s="509"/>
      <c r="D51" s="509"/>
      <c r="E51" s="509"/>
      <c r="F51" s="509"/>
      <c r="G51" s="509"/>
      <c r="H51" s="509"/>
      <c r="I51" s="509"/>
      <c r="J51" s="509"/>
      <c r="K51" s="509"/>
      <c r="L51" s="510"/>
      <c r="M51" s="279"/>
      <c r="X51" s="328"/>
      <c r="Y51" s="329"/>
    </row>
    <row r="52" spans="1:32" x14ac:dyDescent="0.25">
      <c r="A52" s="330" t="s">
        <v>2</v>
      </c>
      <c r="B52" s="331" t="s">
        <v>3</v>
      </c>
      <c r="C52" s="331" t="s">
        <v>4</v>
      </c>
      <c r="D52" s="331" t="s">
        <v>5</v>
      </c>
      <c r="E52" s="331" t="s">
        <v>6</v>
      </c>
      <c r="F52" s="423" t="s">
        <v>7</v>
      </c>
      <c r="G52" s="330" t="s">
        <v>8</v>
      </c>
      <c r="H52" s="331" t="s">
        <v>9</v>
      </c>
      <c r="I52" s="331" t="s">
        <v>10</v>
      </c>
      <c r="J52" s="331" t="s">
        <v>11</v>
      </c>
      <c r="K52" s="331" t="s">
        <v>12</v>
      </c>
      <c r="L52" s="332" t="s">
        <v>13</v>
      </c>
      <c r="M52" s="333"/>
      <c r="X52" s="328"/>
      <c r="Y52" s="329"/>
    </row>
    <row r="53" spans="1:32" ht="15" customHeight="1" thickBot="1" x14ac:dyDescent="0.3">
      <c r="A53" s="77">
        <v>51.682510000000001</v>
      </c>
      <c r="B53" s="78">
        <v>-5.8023160000000001E-3</v>
      </c>
      <c r="C53" s="78">
        <v>4.3556600000000002E-8</v>
      </c>
      <c r="D53" s="78">
        <v>8.7070209999999995E-11</v>
      </c>
      <c r="E53" s="78">
        <v>-8.1329720000000005E-15</v>
      </c>
      <c r="F53" s="79">
        <v>0</v>
      </c>
      <c r="G53" s="77">
        <v>2.7954810000000001</v>
      </c>
      <c r="H53" s="78">
        <v>-1.197542E-5</v>
      </c>
      <c r="I53" s="78">
        <v>-8.6592760000000003E-9</v>
      </c>
      <c r="J53" s="78">
        <v>1.653803E-12</v>
      </c>
      <c r="K53" s="78">
        <v>-8.4307059999999995E-17</v>
      </c>
      <c r="L53" s="164">
        <v>0</v>
      </c>
      <c r="M53" s="334"/>
      <c r="X53" s="328"/>
      <c r="Y53" s="329"/>
    </row>
    <row r="54" spans="1:32" x14ac:dyDescent="0.25">
      <c r="X54" s="335"/>
      <c r="Y54" s="329"/>
    </row>
    <row r="55" spans="1:32" ht="13.2" thickBot="1" x14ac:dyDescent="0.3"/>
    <row r="56" spans="1:32" ht="13.2" thickBot="1" x14ac:dyDescent="0.3">
      <c r="A56" s="511" t="s">
        <v>150</v>
      </c>
      <c r="B56" s="512"/>
      <c r="C56" s="336">
        <v>1</v>
      </c>
      <c r="D56" s="513" t="s">
        <v>149</v>
      </c>
      <c r="E56" s="514"/>
      <c r="F56" s="514"/>
      <c r="G56" s="336">
        <v>20</v>
      </c>
      <c r="H56" s="495" t="s">
        <v>198</v>
      </c>
      <c r="I56" s="500"/>
      <c r="J56" s="500"/>
      <c r="K56" s="497"/>
      <c r="L56" s="497"/>
      <c r="M56" s="497"/>
      <c r="N56" s="497"/>
      <c r="O56" s="497"/>
      <c r="P56" s="498"/>
      <c r="Q56" s="515" t="s">
        <v>76</v>
      </c>
      <c r="R56" s="516"/>
      <c r="S56" s="517"/>
      <c r="T56" s="495" t="s">
        <v>197</v>
      </c>
      <c r="U56" s="500"/>
      <c r="V56" s="500"/>
      <c r="W56" s="499"/>
      <c r="AA56" s="280"/>
      <c r="AB56" s="280"/>
      <c r="AC56" s="280"/>
      <c r="AD56" s="280"/>
    </row>
    <row r="57" spans="1:32" ht="13.2" thickBot="1" x14ac:dyDescent="0.3">
      <c r="A57" s="492" t="s">
        <v>148</v>
      </c>
      <c r="B57" s="493"/>
      <c r="C57" s="493"/>
      <c r="D57" s="493"/>
      <c r="E57" s="493"/>
      <c r="F57" s="493"/>
      <c r="G57" s="494"/>
      <c r="H57" s="495" t="s">
        <v>87</v>
      </c>
      <c r="I57" s="496"/>
      <c r="J57" s="496"/>
      <c r="K57" s="497"/>
      <c r="L57" s="497"/>
      <c r="M57" s="497"/>
      <c r="N57" s="497"/>
      <c r="O57" s="497"/>
      <c r="P57" s="498"/>
      <c r="Q57" s="495" t="s">
        <v>87</v>
      </c>
      <c r="R57" s="496"/>
      <c r="S57" s="499"/>
      <c r="T57" s="495" t="s">
        <v>87</v>
      </c>
      <c r="U57" s="496"/>
      <c r="V57" s="496"/>
      <c r="W57" s="499"/>
      <c r="X57" s="495" t="s">
        <v>77</v>
      </c>
      <c r="Y57" s="500"/>
      <c r="Z57" s="500"/>
      <c r="AA57" s="500"/>
      <c r="AB57" s="501"/>
      <c r="AC57" s="280"/>
      <c r="AD57" s="280"/>
    </row>
    <row r="58" spans="1:32" x14ac:dyDescent="0.25">
      <c r="A58" s="298" t="s">
        <v>139</v>
      </c>
      <c r="B58" s="275" t="s">
        <v>70</v>
      </c>
      <c r="C58" s="275" t="s">
        <v>142</v>
      </c>
      <c r="D58" s="275" t="s">
        <v>144</v>
      </c>
      <c r="E58" s="337" t="s">
        <v>151</v>
      </c>
      <c r="F58" s="337" t="s">
        <v>146</v>
      </c>
      <c r="G58" s="292" t="s">
        <v>147</v>
      </c>
      <c r="H58" s="274" t="s">
        <v>153</v>
      </c>
      <c r="I58" s="337" t="s">
        <v>154</v>
      </c>
      <c r="J58" s="292" t="s">
        <v>155</v>
      </c>
      <c r="K58" s="274" t="s">
        <v>156</v>
      </c>
      <c r="L58" s="337" t="s">
        <v>157</v>
      </c>
      <c r="M58" s="338" t="s">
        <v>158</v>
      </c>
      <c r="N58" s="274" t="s">
        <v>160</v>
      </c>
      <c r="O58" s="337" t="s">
        <v>161</v>
      </c>
      <c r="P58" s="292" t="s">
        <v>162</v>
      </c>
      <c r="Q58" s="274" t="s">
        <v>70</v>
      </c>
      <c r="R58" s="275" t="s">
        <v>72</v>
      </c>
      <c r="S58" s="276" t="s">
        <v>74</v>
      </c>
      <c r="T58" s="274" t="s">
        <v>70</v>
      </c>
      <c r="U58" s="275" t="s">
        <v>72</v>
      </c>
      <c r="V58" s="275" t="s">
        <v>74</v>
      </c>
      <c r="W58" s="276" t="s">
        <v>93</v>
      </c>
      <c r="X58" s="339" t="s">
        <v>81</v>
      </c>
      <c r="Y58" s="340" t="s">
        <v>79</v>
      </c>
      <c r="Z58" s="340" t="s">
        <v>82</v>
      </c>
      <c r="AA58" s="341" t="s">
        <v>83</v>
      </c>
      <c r="AB58" s="342" t="s">
        <v>91</v>
      </c>
      <c r="AC58" s="502" t="s">
        <v>94</v>
      </c>
      <c r="AD58" s="503"/>
      <c r="AE58" s="504"/>
    </row>
    <row r="59" spans="1:32" ht="13.2" thickBot="1" x14ac:dyDescent="0.3">
      <c r="A59" s="293" t="s">
        <v>141</v>
      </c>
      <c r="B59" s="294" t="s">
        <v>140</v>
      </c>
      <c r="C59" s="294" t="s">
        <v>143</v>
      </c>
      <c r="D59" s="294" t="s">
        <v>145</v>
      </c>
      <c r="E59" s="343" t="s">
        <v>89</v>
      </c>
      <c r="F59" s="343" t="s">
        <v>89</v>
      </c>
      <c r="G59" s="326" t="s">
        <v>152</v>
      </c>
      <c r="H59" s="293" t="s">
        <v>71</v>
      </c>
      <c r="I59" s="343" t="s">
        <v>71</v>
      </c>
      <c r="J59" s="326" t="s">
        <v>163</v>
      </c>
      <c r="K59" s="293" t="s">
        <v>73</v>
      </c>
      <c r="L59" s="343" t="s">
        <v>73</v>
      </c>
      <c r="M59" s="344" t="s">
        <v>163</v>
      </c>
      <c r="N59" s="293" t="s">
        <v>159</v>
      </c>
      <c r="O59" s="343" t="s">
        <v>159</v>
      </c>
      <c r="P59" s="326" t="s">
        <v>163</v>
      </c>
      <c r="Q59" s="293" t="s">
        <v>71</v>
      </c>
      <c r="R59" s="294" t="s">
        <v>73</v>
      </c>
      <c r="S59" s="295" t="s">
        <v>75</v>
      </c>
      <c r="T59" s="293" t="s">
        <v>71</v>
      </c>
      <c r="U59" s="294" t="s">
        <v>73</v>
      </c>
      <c r="V59" s="294" t="s">
        <v>75</v>
      </c>
      <c r="W59" s="295" t="s">
        <v>92</v>
      </c>
      <c r="X59" s="345" t="s">
        <v>73</v>
      </c>
      <c r="Y59" s="294" t="s">
        <v>73</v>
      </c>
      <c r="Z59" s="294" t="s">
        <v>75</v>
      </c>
      <c r="AA59" s="296" t="s">
        <v>75</v>
      </c>
      <c r="AB59" s="346" t="s">
        <v>92</v>
      </c>
      <c r="AC59" s="293" t="s">
        <v>72</v>
      </c>
      <c r="AD59" s="294" t="s">
        <v>74</v>
      </c>
      <c r="AE59" s="295" t="s">
        <v>93</v>
      </c>
    </row>
    <row r="60" spans="1:32" x14ac:dyDescent="0.25">
      <c r="A60" s="347">
        <v>0.68500000000000005</v>
      </c>
      <c r="B60" s="348">
        <v>2.2999999999999998</v>
      </c>
      <c r="C60" s="349">
        <v>1497.3</v>
      </c>
      <c r="D60" s="348">
        <v>20.82</v>
      </c>
      <c r="E60" s="350">
        <f>ROUND(C60*D60/9549,3)</f>
        <v>3.2650000000000001</v>
      </c>
      <c r="F60" s="351">
        <v>3.2639999999999998</v>
      </c>
      <c r="G60" s="352" t="str">
        <f>IF(OR(E60-F60&gt;0.001*F60,E60-F60&lt;(-0.001)*F60),"ALARM","OK")</f>
        <v>OK</v>
      </c>
      <c r="H60" s="353">
        <f>ROUNDUP((B60*6.28981)*(3500/C60),1)</f>
        <v>33.9</v>
      </c>
      <c r="I60" s="354">
        <v>33.880000000000003</v>
      </c>
      <c r="J60" s="355" t="str">
        <f>IF(OR(H60-I60&gt;0.005*I60,H60-I60&lt;(-0.005)*I60),"ALARM","OK")</f>
        <v>OK</v>
      </c>
      <c r="K60" s="356">
        <f>ROUNDUP(((A60-0.13)*(1000/9.81)*$C$56*3.28/$G$56)*(3500/C60)^2,2)</f>
        <v>50.699999999999996</v>
      </c>
      <c r="L60" s="348">
        <f>L73/$G$56</f>
        <v>51.488</v>
      </c>
      <c r="M60" s="357" t="str">
        <f t="shared" ref="M60:M70" si="12">IF(OR(K60-L60&gt;0.005*L60,K60-L60&lt;(-0.005)*L60),"ALARM","OK")</f>
        <v>ALARM</v>
      </c>
      <c r="N60" s="358">
        <f>ROUNDUP((F60/(0.746*$G$56))*(3500/C60)^3,3)</f>
        <v>2.7949999999999999</v>
      </c>
      <c r="O60" s="348">
        <f>O73/$G$56</f>
        <v>2.7950500000000003</v>
      </c>
      <c r="P60" s="352" t="str">
        <f t="shared" ref="P60:P70" si="13">IF(OR(N60-O60&gt;0.005*O60,N60-O60&lt;(-0.005)*O60),"ALARM","OK")</f>
        <v>OK</v>
      </c>
      <c r="Q60" s="298">
        <v>0</v>
      </c>
      <c r="R60" s="299">
        <f>B9</f>
        <v>54.3</v>
      </c>
      <c r="S60" s="300">
        <f>C9</f>
        <v>2.8245</v>
      </c>
      <c r="T60" s="298">
        <v>0</v>
      </c>
      <c r="U60" s="299">
        <f>A53</f>
        <v>51.682510000000001</v>
      </c>
      <c r="V60" s="299">
        <f>G53</f>
        <v>2.7954810000000001</v>
      </c>
      <c r="W60" s="359"/>
      <c r="X60" s="360"/>
      <c r="Y60" s="361"/>
      <c r="Z60" s="361"/>
      <c r="AA60" s="362"/>
      <c r="AB60" s="363"/>
      <c r="AC60" s="364"/>
      <c r="AD60" s="365"/>
      <c r="AE60" s="366"/>
    </row>
    <row r="61" spans="1:32" x14ac:dyDescent="0.25">
      <c r="A61" s="367">
        <v>0.42099999999999999</v>
      </c>
      <c r="B61" s="368">
        <v>353.24</v>
      </c>
      <c r="C61" s="369">
        <v>1498</v>
      </c>
      <c r="D61" s="368">
        <v>19.920000000000002</v>
      </c>
      <c r="E61" s="370">
        <f t="shared" ref="E61:E70" si="14">ROUND(C61*D61/9549,3)</f>
        <v>3.125</v>
      </c>
      <c r="F61" s="371">
        <v>3.1240000000000001</v>
      </c>
      <c r="G61" s="372" t="str">
        <f t="shared" ref="G61:G70" si="15">IF(OR(E61-F61&gt;0.001*F61,E61-F61&lt;(-0.001)*F61),"ALARM","OK")</f>
        <v>OK</v>
      </c>
      <c r="H61" s="373">
        <f t="shared" ref="H61:H70" si="16">ROUNDUP((B61*6.28981)*(3500/C61),1)</f>
        <v>5191.2000000000007</v>
      </c>
      <c r="I61" s="368">
        <v>5191.1400000000003</v>
      </c>
      <c r="J61" s="372" t="str">
        <f t="shared" ref="J61:J70" si="17">IF(OR(H61-I61&gt;0.005*I61,H61-I61&lt;(-0.005)*I61),"ALARM","OK")</f>
        <v>OK</v>
      </c>
      <c r="K61" s="356">
        <f t="shared" ref="K61:K70" si="18">ROUNDUP(((A61-0.13)*(1000/9.81)*$C$56*3.28/$G$56)*(3500/C61)^2,2)</f>
        <v>26.560000000000002</v>
      </c>
      <c r="L61" s="348">
        <f t="shared" ref="L61:L67" si="19">L74/$G$56</f>
        <v>28.8565</v>
      </c>
      <c r="M61" s="374" t="str">
        <f t="shared" si="12"/>
        <v>ALARM</v>
      </c>
      <c r="N61" s="375">
        <f t="shared" ref="N61:N70" si="20">ROUNDUP((F61/(0.746*$G$56))*(3500/C61)^3,3)</f>
        <v>2.6709999999999998</v>
      </c>
      <c r="O61" s="348">
        <f t="shared" ref="O61:O67" si="21">O74/$G$56</f>
        <v>2.6717</v>
      </c>
      <c r="P61" s="372" t="str">
        <f t="shared" si="13"/>
        <v>OK</v>
      </c>
      <c r="Q61" s="307">
        <f>(Q60+Q62)/2</f>
        <v>250</v>
      </c>
      <c r="R61" s="308">
        <f t="shared" ref="R61:R72" si="22">$O$3+$P$3*Q61+$Q$3*Q61^2+$R$3*Q61^3+$S$3*Q61^4+$T$3*Q61^5</f>
        <v>53.22123634755566</v>
      </c>
      <c r="S61" s="309">
        <f t="shared" ref="S61:S72" si="23">$U$3+$V$3*Q61+$W$3*Q61^2+$X$3*Q61^3+$Y$3*Q61^4+$Z$3*Q61^5</f>
        <v>2.767020703856836</v>
      </c>
      <c r="T61" s="307">
        <f>(T60+T62)/2</f>
        <v>250</v>
      </c>
      <c r="U61" s="308">
        <f t="shared" ref="U61:U72" si="24">$A$53+$B$53*T61+$C$53*T61^2+$D$53*T61^3+$E$53*T61^4+$F$53*T61^5</f>
        <v>50.23598199010938</v>
      </c>
      <c r="V61" s="308">
        <f t="shared" ref="V61:V72" si="25">$G$53+$H$53*T61+$I$53*T61^2+$J$53*T61^3+$K$53*T61^4+$L$53*T61^5</f>
        <v>2.7919714515974219</v>
      </c>
      <c r="W61" s="376"/>
      <c r="X61" s="377"/>
      <c r="Y61" s="378"/>
      <c r="Z61" s="378"/>
      <c r="AA61" s="379"/>
      <c r="AB61" s="334"/>
      <c r="AC61" s="380"/>
      <c r="AD61" s="381"/>
      <c r="AE61" s="382"/>
    </row>
    <row r="62" spans="1:32" x14ac:dyDescent="0.25">
      <c r="A62" s="367">
        <v>0.39500000000000002</v>
      </c>
      <c r="B62" s="368">
        <v>405.34</v>
      </c>
      <c r="C62" s="369">
        <v>1498.5</v>
      </c>
      <c r="D62" s="368">
        <v>19.829999999999998</v>
      </c>
      <c r="E62" s="370">
        <f t="shared" si="14"/>
        <v>3.1120000000000001</v>
      </c>
      <c r="F62" s="371">
        <v>3.1110000000000002</v>
      </c>
      <c r="G62" s="372" t="str">
        <f t="shared" si="15"/>
        <v>OK</v>
      </c>
      <c r="H62" s="383">
        <f t="shared" si="16"/>
        <v>5954.9000000000005</v>
      </c>
      <c r="I62" s="368">
        <v>5954.76</v>
      </c>
      <c r="J62" s="372" t="str">
        <f t="shared" si="17"/>
        <v>OK</v>
      </c>
      <c r="K62" s="356">
        <f t="shared" si="18"/>
        <v>24.17</v>
      </c>
      <c r="L62" s="348">
        <f t="shared" si="19"/>
        <v>26.911999999999999</v>
      </c>
      <c r="M62" s="374" t="str">
        <f t="shared" si="12"/>
        <v>ALARM</v>
      </c>
      <c r="N62" s="384">
        <f t="shared" si="20"/>
        <v>2.657</v>
      </c>
      <c r="O62" s="348">
        <f t="shared" si="21"/>
        <v>2.6578499999999998</v>
      </c>
      <c r="P62" s="372" t="str">
        <f t="shared" si="13"/>
        <v>OK</v>
      </c>
      <c r="Q62" s="313">
        <f>$C$3</f>
        <v>500</v>
      </c>
      <c r="R62" s="314">
        <f t="shared" si="22"/>
        <v>52.245569806781255</v>
      </c>
      <c r="S62" s="315">
        <f t="shared" si="23"/>
        <v>2.7212485692937505</v>
      </c>
      <c r="T62" s="313">
        <f>$C$3</f>
        <v>500</v>
      </c>
      <c r="U62" s="314">
        <f t="shared" si="24"/>
        <v>48.802616615499993</v>
      </c>
      <c r="V62" s="314">
        <f t="shared" si="25"/>
        <v>2.7875299271837504</v>
      </c>
      <c r="W62" s="385">
        <f t="shared" ref="W62:W70" si="26">(T62*U62*100)/(135788*V62)</f>
        <v>6.4466216416771456</v>
      </c>
      <c r="X62" s="386">
        <f t="shared" ref="X62:X70" si="27">E11</f>
        <v>54.956140493918511</v>
      </c>
      <c r="Y62" s="387">
        <f t="shared" ref="Y62:AA70" si="28">G11</f>
        <v>49.545116731677162</v>
      </c>
      <c r="Z62" s="387">
        <f t="shared" si="28"/>
        <v>2.5035486837502505</v>
      </c>
      <c r="AA62" s="387">
        <f t="shared" si="28"/>
        <v>2.9389484548372509</v>
      </c>
      <c r="AB62" s="334"/>
      <c r="AC62" s="388" t="str">
        <f t="shared" ref="AC62:AC70" si="29">IF(OR(U62&gt;X62,U62&lt;Y62),"FAIL","PASS")</f>
        <v>FAIL</v>
      </c>
      <c r="AD62" s="389" t="str">
        <f t="shared" ref="AD62:AD70" si="30">IF(OR(V62&gt;AA62,V62&lt;Z62),"FAIL","PASS")</f>
        <v>PASS</v>
      </c>
      <c r="AE62" s="390"/>
      <c r="AF62" s="391" t="s">
        <v>95</v>
      </c>
    </row>
    <row r="63" spans="1:32" x14ac:dyDescent="0.25">
      <c r="A63" s="367">
        <v>0.373</v>
      </c>
      <c r="B63" s="368">
        <v>455.09</v>
      </c>
      <c r="C63" s="369">
        <v>1498.9</v>
      </c>
      <c r="D63" s="368">
        <v>19.8</v>
      </c>
      <c r="E63" s="370">
        <f t="shared" si="14"/>
        <v>3.1080000000000001</v>
      </c>
      <c r="F63" s="371">
        <v>3.1070000000000002</v>
      </c>
      <c r="G63" s="372" t="str">
        <f t="shared" si="15"/>
        <v>OK</v>
      </c>
      <c r="H63" s="373">
        <f t="shared" si="16"/>
        <v>6684</v>
      </c>
      <c r="I63" s="368">
        <v>6683.95</v>
      </c>
      <c r="J63" s="372" t="str">
        <f t="shared" si="17"/>
        <v>OK</v>
      </c>
      <c r="K63" s="356">
        <f t="shared" si="18"/>
        <v>22.150000000000002</v>
      </c>
      <c r="L63" s="348">
        <f t="shared" si="19"/>
        <v>25.1645</v>
      </c>
      <c r="M63" s="374" t="str">
        <f t="shared" si="12"/>
        <v>ALARM</v>
      </c>
      <c r="N63" s="392">
        <f t="shared" si="20"/>
        <v>2.6519999999999997</v>
      </c>
      <c r="O63" s="348">
        <f t="shared" si="21"/>
        <v>2.6524000000000001</v>
      </c>
      <c r="P63" s="372" t="str">
        <f t="shared" si="13"/>
        <v>OK</v>
      </c>
      <c r="Q63" s="307">
        <f>(Q62+Q64)/2</f>
        <v>2275</v>
      </c>
      <c r="R63" s="308">
        <f t="shared" si="22"/>
        <v>46.598216124680064</v>
      </c>
      <c r="S63" s="309">
        <f t="shared" si="23"/>
        <v>2.5884125314547242</v>
      </c>
      <c r="T63" s="307">
        <f>(T62+T64)/2</f>
        <v>2275</v>
      </c>
      <c r="U63" s="308">
        <f t="shared" si="24"/>
        <v>39.515027310329032</v>
      </c>
      <c r="V63" s="308">
        <f t="shared" si="25"/>
        <v>2.7406341939450769</v>
      </c>
      <c r="W63" s="393">
        <f t="shared" si="26"/>
        <v>24.156345010562664</v>
      </c>
      <c r="X63" s="394">
        <f t="shared" si="27"/>
        <v>49.294480775551101</v>
      </c>
      <c r="Y63" s="395">
        <f t="shared" si="28"/>
        <v>43.933824081786462</v>
      </c>
      <c r="Z63" s="395">
        <f t="shared" si="28"/>
        <v>2.3813395289383466</v>
      </c>
      <c r="AA63" s="395">
        <f t="shared" si="28"/>
        <v>2.7954855339711022</v>
      </c>
      <c r="AB63" s="334"/>
      <c r="AC63" s="396" t="str">
        <f t="shared" si="29"/>
        <v>FAIL</v>
      </c>
      <c r="AD63" s="397" t="str">
        <f t="shared" si="30"/>
        <v>PASS</v>
      </c>
      <c r="AE63" s="390"/>
    </row>
    <row r="64" spans="1:32" x14ac:dyDescent="0.25">
      <c r="A64" s="367">
        <v>0.33200000000000002</v>
      </c>
      <c r="B64" s="368">
        <v>502.59</v>
      </c>
      <c r="C64" s="369">
        <v>1498.7</v>
      </c>
      <c r="D64" s="368">
        <v>19.8</v>
      </c>
      <c r="E64" s="370">
        <f t="shared" si="14"/>
        <v>3.1080000000000001</v>
      </c>
      <c r="F64" s="371">
        <v>3.1070000000000002</v>
      </c>
      <c r="G64" s="372" t="str">
        <f t="shared" si="15"/>
        <v>OK</v>
      </c>
      <c r="H64" s="373">
        <f t="shared" si="16"/>
        <v>7382.6</v>
      </c>
      <c r="I64" s="368">
        <v>7382.47</v>
      </c>
      <c r="J64" s="372" t="str">
        <f t="shared" si="17"/>
        <v>OK</v>
      </c>
      <c r="K64" s="356">
        <f t="shared" si="18"/>
        <v>18.420000000000002</v>
      </c>
      <c r="L64" s="348">
        <f t="shared" si="19"/>
        <v>21.690999999999999</v>
      </c>
      <c r="M64" s="374" t="str">
        <f t="shared" si="12"/>
        <v>ALARM</v>
      </c>
      <c r="N64" s="392">
        <f t="shared" si="20"/>
        <v>2.653</v>
      </c>
      <c r="O64" s="348">
        <f t="shared" si="21"/>
        <v>2.6531500000000001</v>
      </c>
      <c r="P64" s="372" t="str">
        <f t="shared" si="13"/>
        <v>OK</v>
      </c>
      <c r="Q64" s="307">
        <f>(Q62+Q66)/2</f>
        <v>4050</v>
      </c>
      <c r="R64" s="308">
        <f t="shared" si="22"/>
        <v>40.537465397409534</v>
      </c>
      <c r="S64" s="309">
        <f t="shared" si="23"/>
        <v>2.5398848447232392</v>
      </c>
      <c r="T64" s="307">
        <f>(T62+T66)/2</f>
        <v>4050</v>
      </c>
      <c r="U64" s="308">
        <f t="shared" si="24"/>
        <v>32.493541161921172</v>
      </c>
      <c r="V64" s="308">
        <f t="shared" si="25"/>
        <v>2.692126973861936</v>
      </c>
      <c r="W64" s="393">
        <f t="shared" si="26"/>
        <v>35.999389481129448</v>
      </c>
      <c r="X64" s="394">
        <f t="shared" si="27"/>
        <v>43.360902274433364</v>
      </c>
      <c r="Y64" s="395">
        <f t="shared" si="28"/>
        <v>37.774785601973889</v>
      </c>
      <c r="Z64" s="395">
        <f t="shared" si="28"/>
        <v>2.33669405714538</v>
      </c>
      <c r="AA64" s="395">
        <f t="shared" si="28"/>
        <v>2.7430756323010983</v>
      </c>
      <c r="AB64" s="334"/>
      <c r="AC64" s="396" t="str">
        <f t="shared" si="29"/>
        <v>FAIL</v>
      </c>
      <c r="AD64" s="397" t="str">
        <f t="shared" si="30"/>
        <v>PASS</v>
      </c>
      <c r="AE64" s="390"/>
    </row>
    <row r="65" spans="1:32" x14ac:dyDescent="0.25">
      <c r="A65" s="367">
        <v>0.29199999999999998</v>
      </c>
      <c r="B65" s="368">
        <v>549.57000000000005</v>
      </c>
      <c r="C65" s="369">
        <v>1498.5</v>
      </c>
      <c r="D65" s="368">
        <v>19.760000000000002</v>
      </c>
      <c r="E65" s="370">
        <f t="shared" si="14"/>
        <v>3.101</v>
      </c>
      <c r="F65" s="371">
        <v>3.1</v>
      </c>
      <c r="G65" s="372" t="str">
        <f t="shared" si="15"/>
        <v>OK</v>
      </c>
      <c r="H65" s="373">
        <f t="shared" si="16"/>
        <v>8073.7000000000007</v>
      </c>
      <c r="I65" s="368">
        <v>8073.71</v>
      </c>
      <c r="J65" s="372" t="str">
        <f t="shared" si="17"/>
        <v>OK</v>
      </c>
      <c r="K65" s="356">
        <f t="shared" si="18"/>
        <v>14.78</v>
      </c>
      <c r="L65" s="348">
        <f t="shared" si="19"/>
        <v>18.4025</v>
      </c>
      <c r="M65" s="374" t="str">
        <f t="shared" si="12"/>
        <v>ALARM</v>
      </c>
      <c r="N65" s="392">
        <f t="shared" si="20"/>
        <v>2.6479999999999997</v>
      </c>
      <c r="O65" s="348">
        <f t="shared" si="21"/>
        <v>2.6484999999999999</v>
      </c>
      <c r="P65" s="372" t="str">
        <f t="shared" si="13"/>
        <v>OK</v>
      </c>
      <c r="Q65" s="307">
        <f>(Q64+Q66)/2</f>
        <v>5825</v>
      </c>
      <c r="R65" s="308">
        <f t="shared" si="22"/>
        <v>33.399631371634094</v>
      </c>
      <c r="S65" s="309">
        <f t="shared" si="23"/>
        <v>2.4580554235397249</v>
      </c>
      <c r="T65" s="307">
        <f>(T64+T66)/2</f>
        <v>5825</v>
      </c>
      <c r="U65" s="308">
        <f t="shared" si="24"/>
        <v>27.207603683536085</v>
      </c>
      <c r="V65" s="308">
        <f t="shared" si="25"/>
        <v>2.6617152500606882</v>
      </c>
      <c r="W65" s="393">
        <f t="shared" si="26"/>
        <v>43.849357875818711</v>
      </c>
      <c r="X65" s="394">
        <f t="shared" si="27"/>
        <v>36.332462867010086</v>
      </c>
      <c r="Y65" s="395">
        <f t="shared" si="28"/>
        <v>30.589236341325019</v>
      </c>
      <c r="Z65" s="395">
        <f t="shared" si="28"/>
        <v>2.2614109896565471</v>
      </c>
      <c r="AA65" s="395">
        <f t="shared" si="28"/>
        <v>2.6546998574229033</v>
      </c>
      <c r="AB65" s="334"/>
      <c r="AC65" s="396" t="str">
        <f t="shared" si="29"/>
        <v>FAIL</v>
      </c>
      <c r="AD65" s="397" t="str">
        <f t="shared" si="30"/>
        <v>FAIL</v>
      </c>
      <c r="AE65" s="390"/>
    </row>
    <row r="66" spans="1:32" x14ac:dyDescent="0.25">
      <c r="A66" s="367">
        <v>0.248</v>
      </c>
      <c r="B66" s="368">
        <v>600.05999999999995</v>
      </c>
      <c r="C66" s="369">
        <v>1499.6</v>
      </c>
      <c r="D66" s="368">
        <v>19.71</v>
      </c>
      <c r="E66" s="370">
        <f t="shared" si="14"/>
        <v>3.0950000000000002</v>
      </c>
      <c r="F66" s="371">
        <v>3.0939999999999999</v>
      </c>
      <c r="G66" s="372" t="str">
        <f t="shared" si="15"/>
        <v>OK</v>
      </c>
      <c r="H66" s="383">
        <f t="shared" si="16"/>
        <v>8809</v>
      </c>
      <c r="I66" s="368">
        <v>8809.01</v>
      </c>
      <c r="J66" s="372" t="str">
        <f t="shared" si="17"/>
        <v>OK</v>
      </c>
      <c r="K66" s="356">
        <f t="shared" si="18"/>
        <v>10.75</v>
      </c>
      <c r="L66" s="348">
        <f t="shared" si="19"/>
        <v>15.054499999999999</v>
      </c>
      <c r="M66" s="374" t="str">
        <f t="shared" si="12"/>
        <v>ALARM</v>
      </c>
      <c r="N66" s="384">
        <f t="shared" si="20"/>
        <v>2.637</v>
      </c>
      <c r="O66" s="348">
        <f t="shared" si="21"/>
        <v>2.6379000000000001</v>
      </c>
      <c r="P66" s="372" t="str">
        <f t="shared" si="13"/>
        <v>OK</v>
      </c>
      <c r="Q66" s="313">
        <f>$F$3</f>
        <v>7600</v>
      </c>
      <c r="R66" s="314">
        <f t="shared" si="22"/>
        <v>26.279702160517104</v>
      </c>
      <c r="S66" s="315">
        <f t="shared" si="23"/>
        <v>2.3771875742807049</v>
      </c>
      <c r="T66" s="313">
        <f>$F$3</f>
        <v>7600</v>
      </c>
      <c r="U66" s="314">
        <f t="shared" si="24"/>
        <v>21.189105794252796</v>
      </c>
      <c r="V66" s="314">
        <f t="shared" si="25"/>
        <v>2.6490211545917441</v>
      </c>
      <c r="W66" s="385">
        <f t="shared" si="26"/>
        <v>44.769207169806322</v>
      </c>
      <c r="X66" s="386">
        <f t="shared" si="27"/>
        <v>29.142190385995498</v>
      </c>
      <c r="Y66" s="387">
        <f t="shared" si="28"/>
        <v>23.589097694949103</v>
      </c>
      <c r="Z66" s="387">
        <f t="shared" si="28"/>
        <v>2.1870125683382486</v>
      </c>
      <c r="AA66" s="387">
        <f t="shared" si="28"/>
        <v>2.5673625802231617</v>
      </c>
      <c r="AB66" s="398">
        <f>0.9*I3</f>
        <v>55.693060246852674</v>
      </c>
      <c r="AC66" s="388" t="str">
        <f t="shared" si="29"/>
        <v>FAIL</v>
      </c>
      <c r="AD66" s="389" t="str">
        <f t="shared" si="30"/>
        <v>FAIL</v>
      </c>
      <c r="AE66" s="399" t="str">
        <f>IF(W66&lt;AB66,"FAIL","PASS")</f>
        <v>FAIL</v>
      </c>
      <c r="AF66" s="391" t="s">
        <v>96</v>
      </c>
    </row>
    <row r="67" spans="1:32" x14ac:dyDescent="0.25">
      <c r="A67" s="367">
        <v>0.11700000000000001</v>
      </c>
      <c r="B67" s="368">
        <v>687.46</v>
      </c>
      <c r="C67" s="369">
        <v>1499.4</v>
      </c>
      <c r="D67" s="368">
        <v>19.559999999999999</v>
      </c>
      <c r="E67" s="370">
        <f t="shared" si="14"/>
        <v>3.0710000000000002</v>
      </c>
      <c r="F67" s="371">
        <v>3.07</v>
      </c>
      <c r="G67" s="372" t="str">
        <f t="shared" si="15"/>
        <v>OK</v>
      </c>
      <c r="H67" s="373">
        <f t="shared" si="16"/>
        <v>10093.4</v>
      </c>
      <c r="I67" s="368">
        <v>10093.31</v>
      </c>
      <c r="J67" s="372" t="str">
        <f t="shared" si="17"/>
        <v>OK</v>
      </c>
      <c r="K67" s="356">
        <f t="shared" si="18"/>
        <v>-1.19</v>
      </c>
      <c r="L67" s="348">
        <f t="shared" si="19"/>
        <v>2.585</v>
      </c>
      <c r="M67" s="374" t="str">
        <f t="shared" si="12"/>
        <v>ALARM</v>
      </c>
      <c r="N67" s="392">
        <f t="shared" si="20"/>
        <v>2.6179999999999999</v>
      </c>
      <c r="O67" s="348">
        <f t="shared" si="21"/>
        <v>2.6185499999999999</v>
      </c>
      <c r="P67" s="372" t="str">
        <f t="shared" si="13"/>
        <v>OK</v>
      </c>
      <c r="Q67" s="307">
        <f>(Q66+Q68)/2</f>
        <v>8450</v>
      </c>
      <c r="R67" s="308">
        <f t="shared" si="22"/>
        <v>23.055908562691634</v>
      </c>
      <c r="S67" s="309">
        <f t="shared" si="23"/>
        <v>2.3464532565127567</v>
      </c>
      <c r="T67" s="307">
        <f>(T66+T68)/2</f>
        <v>8450</v>
      </c>
      <c r="U67" s="308">
        <f t="shared" si="24"/>
        <v>16.832429630031172</v>
      </c>
      <c r="V67" s="308">
        <f t="shared" si="25"/>
        <v>2.6439945292434359</v>
      </c>
      <c r="W67" s="393">
        <f t="shared" si="26"/>
        <v>39.61699882224579</v>
      </c>
      <c r="X67" s="394">
        <f t="shared" si="27"/>
        <v>25.883351678633328</v>
      </c>
      <c r="Y67" s="395">
        <f t="shared" si="28"/>
        <v>20.373858005058374</v>
      </c>
      <c r="Z67" s="395">
        <f t="shared" si="28"/>
        <v>2.1587369959917364</v>
      </c>
      <c r="AA67" s="395">
        <f t="shared" si="28"/>
        <v>2.5341695170337775</v>
      </c>
      <c r="AB67" s="334"/>
      <c r="AC67" s="396" t="str">
        <f t="shared" si="29"/>
        <v>FAIL</v>
      </c>
      <c r="AD67" s="397" t="str">
        <f t="shared" si="30"/>
        <v>FAIL</v>
      </c>
      <c r="AE67" s="390"/>
    </row>
    <row r="68" spans="1:32" x14ac:dyDescent="0.25">
      <c r="A68" s="367"/>
      <c r="B68" s="368"/>
      <c r="C68" s="369"/>
      <c r="D68" s="368"/>
      <c r="E68" s="370">
        <f t="shared" si="14"/>
        <v>0</v>
      </c>
      <c r="F68" s="371"/>
      <c r="G68" s="372" t="str">
        <f t="shared" si="15"/>
        <v>OK</v>
      </c>
      <c r="H68" s="373" t="e">
        <f t="shared" si="16"/>
        <v>#DIV/0!</v>
      </c>
      <c r="I68" s="368"/>
      <c r="J68" s="372" t="e">
        <f t="shared" si="17"/>
        <v>#DIV/0!</v>
      </c>
      <c r="K68" s="356" t="e">
        <f t="shared" si="18"/>
        <v>#DIV/0!</v>
      </c>
      <c r="L68" s="368"/>
      <c r="M68" s="374" t="e">
        <f t="shared" si="12"/>
        <v>#DIV/0!</v>
      </c>
      <c r="N68" s="392" t="e">
        <f t="shared" si="20"/>
        <v>#DIV/0!</v>
      </c>
      <c r="O68" s="371"/>
      <c r="P68" s="372" t="e">
        <f t="shared" si="13"/>
        <v>#DIV/0!</v>
      </c>
      <c r="Q68" s="307">
        <f>(Q66+Q70)/2</f>
        <v>9300</v>
      </c>
      <c r="R68" s="308">
        <f t="shared" si="22"/>
        <v>19.756738027207419</v>
      </c>
      <c r="S68" s="309">
        <f t="shared" si="23"/>
        <v>2.308011977164421</v>
      </c>
      <c r="T68" s="307">
        <f>(T66+T70)/2</f>
        <v>9300</v>
      </c>
      <c r="U68" s="308">
        <f t="shared" si="24"/>
        <v>10.684853920232797</v>
      </c>
      <c r="V68" s="308">
        <f t="shared" si="25"/>
        <v>2.6347561755290942</v>
      </c>
      <c r="W68" s="393">
        <f t="shared" si="26"/>
        <v>27.774721616345978</v>
      </c>
      <c r="X68" s="394">
        <f t="shared" si="27"/>
        <v>22.670211021019703</v>
      </c>
      <c r="Y68" s="395">
        <f t="shared" si="28"/>
        <v>16.886386393688504</v>
      </c>
      <c r="Z68" s="395">
        <f t="shared" si="28"/>
        <v>2.1233710189912673</v>
      </c>
      <c r="AA68" s="395">
        <f t="shared" si="28"/>
        <v>2.4926529353375746</v>
      </c>
      <c r="AB68" s="334"/>
      <c r="AC68" s="396" t="str">
        <f t="shared" si="29"/>
        <v>FAIL</v>
      </c>
      <c r="AD68" s="397" t="str">
        <f t="shared" si="30"/>
        <v>FAIL</v>
      </c>
      <c r="AE68" s="390"/>
    </row>
    <row r="69" spans="1:32" x14ac:dyDescent="0.25">
      <c r="A69" s="367"/>
      <c r="B69" s="368"/>
      <c r="C69" s="369"/>
      <c r="D69" s="368"/>
      <c r="E69" s="370">
        <f t="shared" si="14"/>
        <v>0</v>
      </c>
      <c r="F69" s="371"/>
      <c r="G69" s="372" t="str">
        <f t="shared" si="15"/>
        <v>OK</v>
      </c>
      <c r="H69" s="373" t="e">
        <f t="shared" si="16"/>
        <v>#DIV/0!</v>
      </c>
      <c r="I69" s="368"/>
      <c r="J69" s="372" t="e">
        <f t="shared" si="17"/>
        <v>#DIV/0!</v>
      </c>
      <c r="K69" s="356" t="e">
        <f t="shared" si="18"/>
        <v>#DIV/0!</v>
      </c>
      <c r="L69" s="368"/>
      <c r="M69" s="374" t="e">
        <f t="shared" si="12"/>
        <v>#DIV/0!</v>
      </c>
      <c r="N69" s="392" t="e">
        <f t="shared" si="20"/>
        <v>#DIV/0!</v>
      </c>
      <c r="O69" s="371"/>
      <c r="P69" s="372" t="e">
        <f t="shared" si="13"/>
        <v>#DIV/0!</v>
      </c>
      <c r="Q69" s="307">
        <f>(Q68+Q70)/2</f>
        <v>10150</v>
      </c>
      <c r="R69" s="308">
        <f t="shared" si="22"/>
        <v>15.946139712867335</v>
      </c>
      <c r="S69" s="309">
        <f t="shared" si="23"/>
        <v>2.2339832894354554</v>
      </c>
      <c r="T69" s="307">
        <f>(T68+T70)/2</f>
        <v>10150</v>
      </c>
      <c r="U69" s="308">
        <f t="shared" si="24"/>
        <v>2.003347736671671</v>
      </c>
      <c r="V69" s="308">
        <f t="shared" si="25"/>
        <v>2.6163718534565761</v>
      </c>
      <c r="W69" s="393">
        <f t="shared" si="26"/>
        <v>5.7234978213612013</v>
      </c>
      <c r="X69" s="394">
        <f t="shared" si="27"/>
        <v>19.232937014906632</v>
      </c>
      <c r="Y69" s="395">
        <f t="shared" si="28"/>
        <v>12.477690658235751</v>
      </c>
      <c r="Z69" s="395">
        <f t="shared" si="28"/>
        <v>2.0552646262806191</v>
      </c>
      <c r="AA69" s="395">
        <f t="shared" si="28"/>
        <v>2.4127019525902922</v>
      </c>
      <c r="AB69" s="334"/>
      <c r="AC69" s="396" t="str">
        <f t="shared" si="29"/>
        <v>FAIL</v>
      </c>
      <c r="AD69" s="397" t="str">
        <f t="shared" si="30"/>
        <v>FAIL</v>
      </c>
      <c r="AE69" s="390"/>
    </row>
    <row r="70" spans="1:32" x14ac:dyDescent="0.25">
      <c r="A70" s="367"/>
      <c r="B70" s="368"/>
      <c r="C70" s="369"/>
      <c r="D70" s="368"/>
      <c r="E70" s="370">
        <f t="shared" si="14"/>
        <v>0</v>
      </c>
      <c r="F70" s="371"/>
      <c r="G70" s="372" t="str">
        <f t="shared" si="15"/>
        <v>OK</v>
      </c>
      <c r="H70" s="383" t="e">
        <f t="shared" si="16"/>
        <v>#DIV/0!</v>
      </c>
      <c r="I70" s="368"/>
      <c r="J70" s="372" t="e">
        <f t="shared" si="17"/>
        <v>#DIV/0!</v>
      </c>
      <c r="K70" s="356" t="e">
        <f t="shared" si="18"/>
        <v>#DIV/0!</v>
      </c>
      <c r="L70" s="368"/>
      <c r="M70" s="374" t="e">
        <f t="shared" si="12"/>
        <v>#DIV/0!</v>
      </c>
      <c r="N70" s="384" t="e">
        <f t="shared" si="20"/>
        <v>#DIV/0!</v>
      </c>
      <c r="O70" s="371"/>
      <c r="P70" s="372" t="e">
        <f t="shared" si="13"/>
        <v>#DIV/0!</v>
      </c>
      <c r="Q70" s="313">
        <f>$J$3</f>
        <v>11000</v>
      </c>
      <c r="R70" s="314">
        <f t="shared" si="22"/>
        <v>10.878983427000009</v>
      </c>
      <c r="S70" s="315">
        <f t="shared" si="23"/>
        <v>2.0764822614000007</v>
      </c>
      <c r="T70" s="313">
        <f>$J$3</f>
        <v>11000</v>
      </c>
      <c r="U70" s="314">
        <f t="shared" si="24"/>
        <v>-10.057010942000005</v>
      </c>
      <c r="V70" s="314">
        <f t="shared" si="25"/>
        <v>2.5828511115400001</v>
      </c>
      <c r="W70" s="385">
        <f t="shared" si="26"/>
        <v>-31.542843710324878</v>
      </c>
      <c r="X70" s="386">
        <f t="shared" si="27"/>
        <v>15.06778191805973</v>
      </c>
      <c r="Y70" s="387">
        <f t="shared" si="28"/>
        <v>6.100804721708883</v>
      </c>
      <c r="Z70" s="387">
        <f t="shared" si="28"/>
        <v>1.9103636804880006</v>
      </c>
      <c r="AA70" s="387">
        <f t="shared" si="28"/>
        <v>2.242600842312001</v>
      </c>
      <c r="AB70" s="334"/>
      <c r="AC70" s="388" t="str">
        <f t="shared" si="29"/>
        <v>FAIL</v>
      </c>
      <c r="AD70" s="389" t="str">
        <f t="shared" si="30"/>
        <v>FAIL</v>
      </c>
      <c r="AE70" s="390"/>
      <c r="AF70" s="400" t="s">
        <v>97</v>
      </c>
    </row>
    <row r="71" spans="1:32" x14ac:dyDescent="0.25">
      <c r="A71" s="367"/>
      <c r="B71" s="368"/>
      <c r="C71" s="369"/>
      <c r="D71" s="368"/>
      <c r="E71" s="310"/>
      <c r="F71" s="371"/>
      <c r="G71" s="311"/>
      <c r="H71" s="401"/>
      <c r="I71" s="368"/>
      <c r="J71" s="311"/>
      <c r="K71" s="402"/>
      <c r="L71" s="368"/>
      <c r="M71" s="403"/>
      <c r="N71" s="404"/>
      <c r="O71" s="371"/>
      <c r="P71" s="311"/>
      <c r="Q71" s="307">
        <f>(Q70+Q72)/2</f>
        <v>11500</v>
      </c>
      <c r="R71" s="308">
        <f t="shared" si="22"/>
        <v>6.8777239709687876</v>
      </c>
      <c r="S71" s="309">
        <f t="shared" si="23"/>
        <v>1.9168084970062509</v>
      </c>
      <c r="T71" s="307">
        <f>(T70+T72)/2</f>
        <v>11500</v>
      </c>
      <c r="U71" s="308">
        <f t="shared" si="24"/>
        <v>-19.107046607000029</v>
      </c>
      <c r="V71" s="308">
        <f t="shared" si="25"/>
        <v>2.5532663080337494</v>
      </c>
      <c r="W71" s="376"/>
      <c r="X71" s="377"/>
      <c r="Y71" s="378"/>
      <c r="Z71" s="378"/>
      <c r="AA71" s="379"/>
      <c r="AB71" s="334"/>
      <c r="AC71" s="380"/>
      <c r="AD71" s="381"/>
      <c r="AE71" s="382"/>
    </row>
    <row r="72" spans="1:32" ht="13.2" thickBot="1" x14ac:dyDescent="0.3">
      <c r="A72" s="405"/>
      <c r="B72" s="406"/>
      <c r="C72" s="407"/>
      <c r="D72" s="406"/>
      <c r="E72" s="325"/>
      <c r="F72" s="408"/>
      <c r="G72" s="326"/>
      <c r="H72" s="409"/>
      <c r="I72" s="421"/>
      <c r="J72" s="326"/>
      <c r="K72" s="410"/>
      <c r="L72" s="406"/>
      <c r="M72" s="344"/>
      <c r="N72" s="411"/>
      <c r="O72" s="408"/>
      <c r="P72" s="326"/>
      <c r="Q72" s="322">
        <f>$N$3</f>
        <v>12000</v>
      </c>
      <c r="R72" s="323">
        <f t="shared" si="22"/>
        <v>1.7660538239999255</v>
      </c>
      <c r="S72" s="324">
        <f t="shared" si="23"/>
        <v>1.6844520287999956</v>
      </c>
      <c r="T72" s="322">
        <f>$N$3</f>
        <v>12000</v>
      </c>
      <c r="U72" s="323">
        <f t="shared" si="24"/>
        <v>-29.861116112000019</v>
      </c>
      <c r="V72" s="323">
        <f t="shared" si="25"/>
        <v>2.5144206038400005</v>
      </c>
      <c r="W72" s="412"/>
      <c r="X72" s="413"/>
      <c r="Y72" s="414"/>
      <c r="Z72" s="414"/>
      <c r="AA72" s="415"/>
      <c r="AB72" s="416"/>
      <c r="AC72" s="417"/>
      <c r="AD72" s="418"/>
      <c r="AE72" s="419"/>
    </row>
    <row r="73" spans="1:32" x14ac:dyDescent="0.25">
      <c r="I73" s="422"/>
      <c r="L73" s="422">
        <v>1029.76</v>
      </c>
      <c r="O73" s="422">
        <v>55.901000000000003</v>
      </c>
    </row>
    <row r="74" spans="1:32" x14ac:dyDescent="0.25">
      <c r="I74" s="422"/>
      <c r="L74" s="422">
        <v>577.13</v>
      </c>
      <c r="O74" s="422">
        <v>53.433999999999997</v>
      </c>
    </row>
    <row r="75" spans="1:32" x14ac:dyDescent="0.25">
      <c r="I75" s="422"/>
      <c r="L75" s="422">
        <v>538.24</v>
      </c>
      <c r="O75" s="422">
        <v>53.156999999999996</v>
      </c>
    </row>
    <row r="76" spans="1:32" x14ac:dyDescent="0.25">
      <c r="I76" s="422"/>
      <c r="L76" s="422">
        <v>503.29</v>
      </c>
      <c r="O76" s="422">
        <v>53.048000000000002</v>
      </c>
    </row>
    <row r="77" spans="1:32" x14ac:dyDescent="0.25">
      <c r="I77" s="422"/>
      <c r="L77" s="422">
        <v>433.82</v>
      </c>
      <c r="O77" s="422">
        <v>53.063000000000002</v>
      </c>
    </row>
    <row r="78" spans="1:32" x14ac:dyDescent="0.25">
      <c r="I78" s="422"/>
      <c r="L78" s="422">
        <v>368.05</v>
      </c>
      <c r="O78" s="422">
        <v>52.97</v>
      </c>
    </row>
    <row r="79" spans="1:32" x14ac:dyDescent="0.25">
      <c r="I79" s="422"/>
      <c r="L79" s="422">
        <v>301.08999999999997</v>
      </c>
      <c r="O79" s="422">
        <v>52.758000000000003</v>
      </c>
    </row>
    <row r="80" spans="1:32" x14ac:dyDescent="0.25">
      <c r="I80" s="422"/>
      <c r="L80" s="422">
        <v>51.7</v>
      </c>
      <c r="O80" s="422">
        <v>52.371000000000002</v>
      </c>
    </row>
  </sheetData>
  <mergeCells count="26">
    <mergeCell ref="A5:C5"/>
    <mergeCell ref="D5:I5"/>
    <mergeCell ref="AA5:AD5"/>
    <mergeCell ref="A1:N1"/>
    <mergeCell ref="O1:T1"/>
    <mergeCell ref="U1:Z1"/>
    <mergeCell ref="AA1:AF1"/>
    <mergeCell ref="A4:N4"/>
    <mergeCell ref="T57:W57"/>
    <mergeCell ref="X57:AB57"/>
    <mergeCell ref="AC58:AE58"/>
    <mergeCell ref="D6:E6"/>
    <mergeCell ref="F6:G6"/>
    <mergeCell ref="X49:Y49"/>
    <mergeCell ref="A51:L51"/>
    <mergeCell ref="A56:B56"/>
    <mergeCell ref="D56:F56"/>
    <mergeCell ref="H56:P56"/>
    <mergeCell ref="Q56:S56"/>
    <mergeCell ref="T56:W56"/>
    <mergeCell ref="J8:M8"/>
    <mergeCell ref="J11:M11"/>
    <mergeCell ref="J14:M14"/>
    <mergeCell ref="A57:G57"/>
    <mergeCell ref="H57:P57"/>
    <mergeCell ref="Q57:S57"/>
  </mergeCells>
  <pageMargins left="0.75" right="0.75" top="1" bottom="1" header="0.5" footer="0.5"/>
  <pageSetup paperSize="3" scale="4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E80"/>
  <sheetViews>
    <sheetView topLeftCell="A63" zoomScale="90" zoomScaleNormal="90" workbookViewId="0">
      <selection activeCell="E87" sqref="E87"/>
    </sheetView>
  </sheetViews>
  <sheetFormatPr defaultRowHeight="12.6" x14ac:dyDescent="0.25"/>
  <cols>
    <col min="1" max="1" width="12.6640625" style="255" customWidth="1"/>
    <col min="2" max="2" width="14.109375" style="255" bestFit="1" customWidth="1"/>
    <col min="3" max="3" width="15.33203125" style="255" bestFit="1" customWidth="1"/>
    <col min="4" max="4" width="14.109375" style="255" bestFit="1" customWidth="1"/>
    <col min="5" max="5" width="13" style="255" bestFit="1" customWidth="1"/>
    <col min="6" max="6" width="13.33203125" style="255" bestFit="1" customWidth="1"/>
    <col min="7" max="7" width="13.88671875" style="255" bestFit="1" customWidth="1"/>
    <col min="8" max="8" width="13.5546875" style="255" bestFit="1" customWidth="1"/>
    <col min="9" max="9" width="14.109375" style="255" bestFit="1" customWidth="1"/>
    <col min="10" max="10" width="14.44140625" style="255" bestFit="1" customWidth="1"/>
    <col min="11" max="11" width="13.88671875" style="255" bestFit="1" customWidth="1"/>
    <col min="12" max="12" width="14.6640625" style="255" bestFit="1" customWidth="1"/>
    <col min="13" max="13" width="14" style="255" customWidth="1"/>
    <col min="14" max="14" width="16.21875" style="255" bestFit="1" customWidth="1"/>
    <col min="15" max="15" width="14" style="255" bestFit="1" customWidth="1"/>
    <col min="16" max="16" width="14.109375" style="255" customWidth="1"/>
    <col min="17" max="17" width="14.88671875" style="280" bestFit="1" customWidth="1"/>
    <col min="18" max="18" width="13.88671875" style="280" bestFit="1" customWidth="1"/>
    <col min="19" max="19" width="14.44140625" style="280" bestFit="1" customWidth="1"/>
    <col min="20" max="20" width="13.5546875" style="280" bestFit="1" customWidth="1"/>
    <col min="21" max="22" width="13.88671875" style="255" bestFit="1" customWidth="1"/>
    <col min="23" max="23" width="14.6640625" style="255" bestFit="1" customWidth="1"/>
    <col min="24" max="24" width="13.5546875" style="255" bestFit="1" customWidth="1"/>
    <col min="25" max="25" width="14.6640625" style="255" bestFit="1" customWidth="1"/>
    <col min="26" max="26" width="13.5546875" style="255" bestFit="1" customWidth="1"/>
    <col min="27" max="27" width="12.77734375" style="255" bestFit="1" customWidth="1"/>
    <col min="28" max="28" width="12.21875" style="255" bestFit="1" customWidth="1"/>
    <col min="29" max="30" width="12.77734375" style="255" bestFit="1" customWidth="1"/>
    <col min="31" max="31" width="13.77734375" style="255" customWidth="1"/>
    <col min="32" max="32" width="12.77734375" style="255" bestFit="1" customWidth="1"/>
    <col min="33" max="16384" width="8.88671875" style="255"/>
  </cols>
  <sheetData>
    <row r="1" spans="1:57" ht="41.25" customHeight="1" thickBot="1" x14ac:dyDescent="0.3">
      <c r="A1" s="519" t="s">
        <v>201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1"/>
      <c r="O1" s="522" t="s">
        <v>38</v>
      </c>
      <c r="P1" s="523"/>
      <c r="Q1" s="523"/>
      <c r="R1" s="523"/>
      <c r="S1" s="523"/>
      <c r="T1" s="523"/>
      <c r="U1" s="522" t="s">
        <v>39</v>
      </c>
      <c r="V1" s="523"/>
      <c r="W1" s="523"/>
      <c r="X1" s="523"/>
      <c r="Y1" s="523"/>
      <c r="Z1" s="524"/>
      <c r="AA1" s="525" t="s">
        <v>133</v>
      </c>
      <c r="AB1" s="526"/>
      <c r="AC1" s="526"/>
      <c r="AD1" s="526"/>
      <c r="AE1" s="526"/>
      <c r="AF1" s="526"/>
    </row>
    <row r="2" spans="1:57" s="265" customFormat="1" ht="50.4" x14ac:dyDescent="0.25">
      <c r="A2" s="256" t="s">
        <v>22</v>
      </c>
      <c r="B2" s="257" t="s">
        <v>26</v>
      </c>
      <c r="C2" s="258" t="s">
        <v>23</v>
      </c>
      <c r="D2" s="257" t="s">
        <v>24</v>
      </c>
      <c r="E2" s="257" t="s">
        <v>25</v>
      </c>
      <c r="F2" s="259" t="s">
        <v>27</v>
      </c>
      <c r="G2" s="257" t="s">
        <v>28</v>
      </c>
      <c r="H2" s="257" t="s">
        <v>29</v>
      </c>
      <c r="I2" s="260" t="s">
        <v>30</v>
      </c>
      <c r="J2" s="261" t="s">
        <v>31</v>
      </c>
      <c r="K2" s="257" t="s">
        <v>32</v>
      </c>
      <c r="L2" s="257" t="s">
        <v>33</v>
      </c>
      <c r="M2" s="257"/>
      <c r="N2" s="262" t="s">
        <v>34</v>
      </c>
      <c r="O2" s="263" t="s">
        <v>189</v>
      </c>
      <c r="P2" s="263" t="s">
        <v>2</v>
      </c>
      <c r="Q2" s="263" t="s">
        <v>3</v>
      </c>
      <c r="R2" s="263" t="s">
        <v>4</v>
      </c>
      <c r="S2" s="263" t="s">
        <v>5</v>
      </c>
      <c r="T2" s="263" t="s">
        <v>6</v>
      </c>
      <c r="U2" s="263" t="s">
        <v>188</v>
      </c>
      <c r="V2" s="263" t="s">
        <v>8</v>
      </c>
      <c r="W2" s="263" t="s">
        <v>9</v>
      </c>
      <c r="X2" s="263" t="s">
        <v>10</v>
      </c>
      <c r="Y2" s="263" t="s">
        <v>11</v>
      </c>
      <c r="Z2" s="264" t="s">
        <v>12</v>
      </c>
      <c r="AA2" s="274" t="s">
        <v>182</v>
      </c>
      <c r="AB2" s="275" t="s">
        <v>183</v>
      </c>
      <c r="AC2" s="275" t="s">
        <v>184</v>
      </c>
      <c r="AD2" s="275" t="s">
        <v>185</v>
      </c>
      <c r="AE2" s="275" t="s">
        <v>186</v>
      </c>
      <c r="AF2" s="276" t="s">
        <v>187</v>
      </c>
    </row>
    <row r="3" spans="1:57" s="265" customFormat="1" ht="13.2" thickBot="1" x14ac:dyDescent="0.3">
      <c r="A3" s="266">
        <f>'Pump coeff'!M5</f>
        <v>49.358519999999999</v>
      </c>
      <c r="B3" s="267">
        <f>'Pump coeff'!N5</f>
        <v>2.8245</v>
      </c>
      <c r="C3" s="268">
        <f>'Pump coeff'!O5</f>
        <v>500</v>
      </c>
      <c r="D3" s="267">
        <f>'Pump coeff'!P5</f>
        <v>48.950690946678115</v>
      </c>
      <c r="E3" s="267">
        <f>'Pump coeff'!Q5</f>
        <v>2.7212485692937505</v>
      </c>
      <c r="F3" s="268">
        <f>'Pump coeff'!R5</f>
        <v>7600</v>
      </c>
      <c r="G3" s="267">
        <f>'Pump coeff'!S5</f>
        <v>21.539868960159218</v>
      </c>
      <c r="H3" s="267">
        <f>'Pump coeff'!T5</f>
        <v>2.3771875742807049</v>
      </c>
      <c r="I3" s="269">
        <f>'Pump coeff'!U5</f>
        <v>50.720227276555782</v>
      </c>
      <c r="J3" s="268">
        <f>'Pump coeff'!V5</f>
        <v>11000</v>
      </c>
      <c r="K3" s="267">
        <f>'Pump coeff'!W5</f>
        <v>-0.25465336030005403</v>
      </c>
      <c r="L3" s="267">
        <f>'Pump coeff'!X5</f>
        <v>2.0764822614000007</v>
      </c>
      <c r="M3" s="270"/>
      <c r="N3" s="271">
        <f>'Pump coeff'!Z5</f>
        <v>12000</v>
      </c>
      <c r="O3" s="272">
        <f>'Pump coeff'!AA5</f>
        <v>49.358519999999999</v>
      </c>
      <c r="P3" s="272">
        <f>'Pump coeff'!AB5</f>
        <v>-2.062927E-4</v>
      </c>
      <c r="Q3" s="272">
        <f>'Pump coeff'!AC5</f>
        <v>-1.2784990000000001E-6</v>
      </c>
      <c r="R3" s="272">
        <f>'Pump coeff'!AD5</f>
        <v>1.1792989999999999E-10</v>
      </c>
      <c r="S3" s="272">
        <f>'Pump coeff'!AE5</f>
        <v>3.5272990000000001E-15</v>
      </c>
      <c r="T3" s="272">
        <f>'Pump coeff'!AF5</f>
        <v>-6.2870430000000003E-19</v>
      </c>
      <c r="U3" s="272">
        <f>'Pump coeff'!AG5</f>
        <v>2.8245</v>
      </c>
      <c r="V3" s="272">
        <f>'Pump coeff'!AH5</f>
        <v>-2.561385E-4</v>
      </c>
      <c r="W3" s="272">
        <f>'Pump coeff'!AI5</f>
        <v>1.1078640000000001E-7</v>
      </c>
      <c r="X3" s="272">
        <f>'Pump coeff'!AJ5</f>
        <v>-2.4189500000000001E-11</v>
      </c>
      <c r="Y3" s="272">
        <f>'Pump coeff'!AK5</f>
        <v>2.3610659999999999E-15</v>
      </c>
      <c r="Z3" s="273">
        <f>'Pump coeff'!AL5</f>
        <v>-8.51146E-20</v>
      </c>
      <c r="AA3" s="294"/>
      <c r="AB3" s="294"/>
      <c r="AC3" s="294"/>
      <c r="AD3" s="294"/>
      <c r="AE3" s="294"/>
      <c r="AF3" s="294"/>
    </row>
    <row r="4" spans="1:57" s="265" customFormat="1" ht="13.2" thickBot="1" x14ac:dyDescent="0.3">
      <c r="A4" s="527" t="s">
        <v>181</v>
      </c>
      <c r="B4" s="528"/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277">
        <v>49.358519999999999</v>
      </c>
      <c r="P4" s="277">
        <v>-2.062927E-4</v>
      </c>
      <c r="Q4" s="277">
        <v>-1.2784990000000001E-6</v>
      </c>
      <c r="R4" s="277">
        <v>1.1792989999999999E-10</v>
      </c>
      <c r="S4" s="277">
        <v>3.5272990000000001E-15</v>
      </c>
      <c r="T4" s="277">
        <v>-6.2870430000000003E-19</v>
      </c>
      <c r="U4" s="277">
        <v>2.4825529999999998</v>
      </c>
      <c r="V4" s="277">
        <v>9.7114869999999999E-5</v>
      </c>
      <c r="W4" s="277">
        <v>1.558449E-9</v>
      </c>
      <c r="X4" s="277">
        <v>-1.258005E-11</v>
      </c>
      <c r="Y4" s="277">
        <v>2.1633820000000001E-15</v>
      </c>
      <c r="Z4" s="278">
        <v>-1.018825E-19</v>
      </c>
      <c r="AA4" s="427">
        <v>-0.18490090000000001</v>
      </c>
      <c r="AB4" s="428">
        <v>1.5043600000000001E-2</v>
      </c>
      <c r="AC4" s="428">
        <v>-1.2444140000000001E-6</v>
      </c>
      <c r="AD4" s="428">
        <v>-6.8231700000000005E-11</v>
      </c>
      <c r="AE4" s="428">
        <v>2.3063790000000001E-14</v>
      </c>
      <c r="AF4" s="429">
        <v>-1.641497E-18</v>
      </c>
    </row>
    <row r="5" spans="1:57" ht="13.2" thickBot="1" x14ac:dyDescent="0.3">
      <c r="A5" s="529" t="s">
        <v>76</v>
      </c>
      <c r="B5" s="530"/>
      <c r="C5" s="531"/>
      <c r="D5" s="529" t="s">
        <v>84</v>
      </c>
      <c r="E5" s="530"/>
      <c r="F5" s="532"/>
      <c r="G5" s="532"/>
      <c r="H5" s="532"/>
      <c r="I5" s="533"/>
      <c r="J5" s="279"/>
      <c r="K5" s="279"/>
      <c r="L5" s="279"/>
      <c r="M5" s="279"/>
      <c r="N5" s="279"/>
      <c r="AA5" s="534" t="s">
        <v>199</v>
      </c>
      <c r="AB5" s="535"/>
      <c r="AC5" s="535"/>
      <c r="AD5" s="536"/>
    </row>
    <row r="6" spans="1:57" ht="38.25" customHeight="1" thickBot="1" x14ac:dyDescent="0.3">
      <c r="A6" s="281"/>
      <c r="B6" s="282"/>
      <c r="C6" s="283"/>
      <c r="D6" s="505" t="s">
        <v>85</v>
      </c>
      <c r="E6" s="506"/>
      <c r="F6" s="505" t="s">
        <v>86</v>
      </c>
      <c r="G6" s="506"/>
      <c r="H6" s="284"/>
      <c r="I6" s="285"/>
      <c r="J6" s="279"/>
      <c r="K6" s="279"/>
      <c r="L6" s="279"/>
      <c r="M6" s="279"/>
      <c r="N6" s="279"/>
      <c r="AA6" s="286"/>
      <c r="AB6" s="287"/>
      <c r="AC6" s="288"/>
      <c r="AD6" s="289"/>
    </row>
    <row r="7" spans="1:57" x14ac:dyDescent="0.25">
      <c r="A7" s="274" t="s">
        <v>70</v>
      </c>
      <c r="B7" s="275" t="s">
        <v>72</v>
      </c>
      <c r="C7" s="276" t="s">
        <v>74</v>
      </c>
      <c r="D7" s="274" t="s">
        <v>78</v>
      </c>
      <c r="E7" s="275" t="s">
        <v>81</v>
      </c>
      <c r="F7" s="275" t="s">
        <v>80</v>
      </c>
      <c r="G7" s="275" t="s">
        <v>79</v>
      </c>
      <c r="H7" s="275" t="s">
        <v>82</v>
      </c>
      <c r="I7" s="276" t="s">
        <v>83</v>
      </c>
      <c r="J7" s="290"/>
      <c r="K7" s="290"/>
      <c r="L7" s="290"/>
      <c r="M7" s="290"/>
      <c r="N7" s="290"/>
      <c r="AA7" s="274" t="s">
        <v>70</v>
      </c>
      <c r="AB7" s="275" t="s">
        <v>72</v>
      </c>
      <c r="AC7" s="291" t="s">
        <v>74</v>
      </c>
      <c r="AD7" s="292" t="s">
        <v>135</v>
      </c>
    </row>
    <row r="8" spans="1:57" ht="13.2" thickBot="1" x14ac:dyDescent="0.3">
      <c r="A8" s="293" t="s">
        <v>71</v>
      </c>
      <c r="B8" s="294" t="s">
        <v>73</v>
      </c>
      <c r="C8" s="295" t="s">
        <v>75</v>
      </c>
      <c r="D8" s="293" t="s">
        <v>71</v>
      </c>
      <c r="E8" s="294" t="s">
        <v>73</v>
      </c>
      <c r="F8" s="294" t="s">
        <v>71</v>
      </c>
      <c r="G8" s="294" t="s">
        <v>73</v>
      </c>
      <c r="H8" s="294" t="s">
        <v>75</v>
      </c>
      <c r="I8" s="295" t="s">
        <v>75</v>
      </c>
      <c r="J8" s="518" t="s">
        <v>98</v>
      </c>
      <c r="K8" s="489"/>
      <c r="L8" s="489"/>
      <c r="M8" s="489"/>
      <c r="N8" s="290"/>
      <c r="AA8" s="293" t="s">
        <v>71</v>
      </c>
      <c r="AB8" s="294" t="s">
        <v>73</v>
      </c>
      <c r="AC8" s="296" t="s">
        <v>75</v>
      </c>
      <c r="AD8" s="297" t="s">
        <v>92</v>
      </c>
    </row>
    <row r="9" spans="1:57" x14ac:dyDescent="0.25">
      <c r="A9" s="298">
        <v>0</v>
      </c>
      <c r="B9" s="299">
        <f>O3</f>
        <v>49.358519999999999</v>
      </c>
      <c r="C9" s="300">
        <f>U3</f>
        <v>2.8245</v>
      </c>
      <c r="D9" s="298"/>
      <c r="E9" s="299"/>
      <c r="F9" s="301"/>
      <c r="G9" s="299"/>
      <c r="H9" s="301"/>
      <c r="I9" s="302"/>
      <c r="J9" s="303">
        <f>A11</f>
        <v>500</v>
      </c>
      <c r="K9" s="255">
        <v>0</v>
      </c>
      <c r="L9" s="255">
        <v>0</v>
      </c>
      <c r="M9" s="255">
        <v>0</v>
      </c>
      <c r="AA9" s="304">
        <f>A9</f>
        <v>0</v>
      </c>
      <c r="AB9" s="305">
        <f>O4</f>
        <v>49.358519999999999</v>
      </c>
      <c r="AC9" s="306">
        <f>U4</f>
        <v>2.4825529999999998</v>
      </c>
      <c r="AD9" s="424">
        <f>AA4</f>
        <v>-0.18490090000000001</v>
      </c>
    </row>
    <row r="10" spans="1:57" x14ac:dyDescent="0.25">
      <c r="A10" s="307">
        <f>(A9+A11)/2</f>
        <v>250</v>
      </c>
      <c r="B10" s="308">
        <f t="shared" ref="B10:B21" si="0">$O$3+$P$3*A10+$Q$3*A10^2+$R$3*A10^3+$S$3*A10^4+$T$3*A10^5</f>
        <v>49.228896456730176</v>
      </c>
      <c r="C10" s="309">
        <f t="shared" ref="C10:C21" si="1">$U$3+$V$3*A10+$W$3*A10^2+$X$3*A10^3+$Y$3*A10^4+$Z$3*A10^5</f>
        <v>2.767020703856836</v>
      </c>
      <c r="D10" s="307"/>
      <c r="E10" s="308"/>
      <c r="F10" s="310"/>
      <c r="G10" s="308"/>
      <c r="H10" s="310"/>
      <c r="I10" s="311"/>
      <c r="J10" s="303">
        <f>A11</f>
        <v>500</v>
      </c>
      <c r="K10" s="255">
        <v>60</v>
      </c>
      <c r="L10" s="255">
        <v>3.5</v>
      </c>
      <c r="M10" s="255">
        <v>70</v>
      </c>
      <c r="AA10" s="307">
        <f t="shared" ref="AA10:AA21" si="2">A10</f>
        <v>250</v>
      </c>
      <c r="AB10" s="308">
        <f>$O$4+$P$4*A10+$Q$4*A10^2+$R$4*A10^3+$S$4*A10^4+$T$4*A10^5</f>
        <v>49.228896456730176</v>
      </c>
      <c r="AC10" s="312">
        <f>$U$4+$V$4*AA10+$W$4*AA10^2+$X$4*AA10^3+$Y$4*AA10^4+$Z$4*AA10^5</f>
        <v>2.5067409084975587</v>
      </c>
      <c r="AD10" s="425">
        <f>$AA$4+$AB$4*AA10+$AC$4*AA10^2+$AD$4*AA10^3+$AE$4*AA10^4+$AF$4*AA10^5</f>
        <v>3.4972455945927736</v>
      </c>
    </row>
    <row r="11" spans="1:57" s="319" customFormat="1" x14ac:dyDescent="0.25">
      <c r="A11" s="313">
        <f>$C$3</f>
        <v>500</v>
      </c>
      <c r="B11" s="314">
        <f t="shared" si="0"/>
        <v>48.950690946678115</v>
      </c>
      <c r="C11" s="315">
        <f t="shared" si="1"/>
        <v>2.7212485692937505</v>
      </c>
      <c r="D11" s="316">
        <f t="shared" ref="D11:D19" si="3">0.95*A11</f>
        <v>475</v>
      </c>
      <c r="E11" s="314">
        <f t="shared" ref="E11:E19" si="4">($O$3+$P$3*D11+$Q$3*D11^2+$R$3*D11^3+$S$3*D11^4+$T$3*D11^5)*1.05</f>
        <v>51.43411639756718</v>
      </c>
      <c r="F11" s="317">
        <f t="shared" ref="F11:F19" si="5">1.05*A11</f>
        <v>525</v>
      </c>
      <c r="G11" s="314">
        <f t="shared" ref="G11:G19" si="6">($O$3+$P$3*F11+$Q$3*F11^2+$R$3*F11^3+$S$3*F11^4+$T$3*F11^5)*0.95</f>
        <v>46.469380873371669</v>
      </c>
      <c r="H11" s="314">
        <f t="shared" ref="H11:H19" si="7">C11*0.92</f>
        <v>2.5035486837502505</v>
      </c>
      <c r="I11" s="315">
        <f t="shared" ref="I11:I19" si="8">1.08*C11</f>
        <v>2.9389484548372509</v>
      </c>
      <c r="J11" s="491" t="s">
        <v>96</v>
      </c>
      <c r="K11" s="489"/>
      <c r="L11" s="489"/>
      <c r="M11" s="489"/>
      <c r="N11" s="318"/>
      <c r="Q11" s="320"/>
      <c r="R11" s="320"/>
      <c r="S11" s="320"/>
      <c r="T11" s="320"/>
      <c r="AA11" s="307">
        <f t="shared" si="2"/>
        <v>500</v>
      </c>
      <c r="AB11" s="308">
        <f t="shared" ref="AB11:AB21" si="9">$O$4+$P$4*A11+$Q$4*A11^2+$R$4*A11^3+$S$4*A11^4+$T$4*A11^5</f>
        <v>48.950690946678115</v>
      </c>
      <c r="AC11" s="312">
        <f t="shared" ref="AC11:AC21" si="10">$U$4+$V$4*AA11+$W$4*AA11^2+$X$4*AA11^3+$Y$4*AA11^4+$Z$4*AA11^5</f>
        <v>2.5300595685468745</v>
      </c>
      <c r="AD11" s="425">
        <f t="shared" ref="AD11:AD21" si="11">$AA$4+$AB$4*AA11+$AC$4*AA11^2+$AD$4*AA11^3+$AE$4*AA11^4+$AF$4*AA11^5</f>
        <v>7.0186568275937509</v>
      </c>
      <c r="AE11" s="318"/>
      <c r="AF11" s="318"/>
      <c r="AG11" s="318"/>
      <c r="AH11" s="318"/>
      <c r="AI11" s="318"/>
      <c r="AJ11" s="318"/>
      <c r="AK11" s="318"/>
      <c r="AL11" s="318"/>
      <c r="AM11" s="318"/>
      <c r="AN11" s="318"/>
      <c r="AO11" s="318"/>
      <c r="AP11" s="318"/>
      <c r="AQ11" s="318"/>
      <c r="AR11" s="318"/>
      <c r="AS11" s="318"/>
      <c r="AT11" s="318"/>
      <c r="AU11" s="318"/>
      <c r="AV11" s="318"/>
      <c r="AW11" s="318"/>
      <c r="AX11" s="318"/>
      <c r="AY11" s="318"/>
      <c r="AZ11" s="318"/>
      <c r="BA11" s="318"/>
      <c r="BB11" s="318"/>
      <c r="BC11" s="318"/>
      <c r="BD11" s="318"/>
      <c r="BE11" s="318"/>
    </row>
    <row r="12" spans="1:57" x14ac:dyDescent="0.25">
      <c r="A12" s="307">
        <f>(A11+A13)/2</f>
        <v>2275</v>
      </c>
      <c r="B12" s="308">
        <f t="shared" si="0"/>
        <v>43.716916304623318</v>
      </c>
      <c r="C12" s="309">
        <f t="shared" si="1"/>
        <v>2.5884125314547242</v>
      </c>
      <c r="D12" s="307">
        <f t="shared" si="3"/>
        <v>2161.25</v>
      </c>
      <c r="E12" s="308">
        <f t="shared" si="4"/>
        <v>46.387570318098369</v>
      </c>
      <c r="F12" s="310">
        <f t="shared" si="5"/>
        <v>2388.75</v>
      </c>
      <c r="G12" s="308">
        <f t="shared" si="6"/>
        <v>41.081662542833939</v>
      </c>
      <c r="H12" s="308">
        <f t="shared" si="7"/>
        <v>2.3813395289383466</v>
      </c>
      <c r="I12" s="309">
        <f t="shared" si="8"/>
        <v>2.7954855339711022</v>
      </c>
      <c r="J12" s="321">
        <f>A15</f>
        <v>7600</v>
      </c>
      <c r="K12" s="318">
        <v>0</v>
      </c>
      <c r="L12" s="318">
        <v>0</v>
      </c>
      <c r="M12" s="318">
        <v>0</v>
      </c>
      <c r="N12" s="318"/>
      <c r="AA12" s="307">
        <f t="shared" si="2"/>
        <v>2275</v>
      </c>
      <c r="AB12" s="308">
        <f t="shared" si="9"/>
        <v>43.716916304623318</v>
      </c>
      <c r="AC12" s="312">
        <f t="shared" si="10"/>
        <v>2.6151728210666851</v>
      </c>
      <c r="AD12" s="425">
        <f t="shared" si="11"/>
        <v>27.313049578833155</v>
      </c>
      <c r="AE12" s="318"/>
      <c r="AF12" s="318"/>
      <c r="AG12" s="318"/>
      <c r="AH12" s="318"/>
      <c r="AI12" s="318"/>
      <c r="AJ12" s="318"/>
      <c r="AK12" s="318"/>
      <c r="AL12" s="318"/>
      <c r="AM12" s="318"/>
      <c r="AN12" s="318"/>
      <c r="AO12" s="318"/>
      <c r="AP12" s="318"/>
      <c r="AQ12" s="318"/>
      <c r="AR12" s="318"/>
      <c r="AS12" s="318"/>
      <c r="AT12" s="318"/>
      <c r="AU12" s="318"/>
      <c r="AV12" s="318"/>
      <c r="AW12" s="318"/>
      <c r="AX12" s="318"/>
      <c r="AY12" s="318"/>
      <c r="AZ12" s="318"/>
      <c r="BA12" s="318"/>
      <c r="BB12" s="318"/>
      <c r="BC12" s="318"/>
      <c r="BD12" s="318"/>
      <c r="BE12" s="318"/>
    </row>
    <row r="13" spans="1:57" x14ac:dyDescent="0.25">
      <c r="A13" s="307">
        <f>(A11+A15)/2</f>
        <v>4050</v>
      </c>
      <c r="B13" s="308">
        <f t="shared" si="0"/>
        <v>35.650495457190601</v>
      </c>
      <c r="C13" s="309">
        <f t="shared" si="1"/>
        <v>2.5398848447232392</v>
      </c>
      <c r="D13" s="307">
        <f t="shared" si="3"/>
        <v>3847.5</v>
      </c>
      <c r="E13" s="308">
        <f t="shared" si="4"/>
        <v>38.42842724385185</v>
      </c>
      <c r="F13" s="310">
        <f t="shared" si="5"/>
        <v>4252.5</v>
      </c>
      <c r="G13" s="308">
        <f t="shared" si="6"/>
        <v>32.97386701503558</v>
      </c>
      <c r="H13" s="308">
        <f t="shared" si="7"/>
        <v>2.33669405714538</v>
      </c>
      <c r="I13" s="309">
        <f t="shared" si="8"/>
        <v>2.7430756323010983</v>
      </c>
      <c r="J13" s="321">
        <f>A15</f>
        <v>7600</v>
      </c>
      <c r="K13" s="318">
        <v>60</v>
      </c>
      <c r="L13" s="318">
        <v>3.5</v>
      </c>
      <c r="M13" s="318">
        <v>70</v>
      </c>
      <c r="N13" s="318"/>
      <c r="AA13" s="307">
        <f t="shared" si="2"/>
        <v>4050</v>
      </c>
      <c r="AB13" s="308">
        <f t="shared" si="9"/>
        <v>35.650495457190601</v>
      </c>
      <c r="AC13" s="312">
        <f t="shared" si="10"/>
        <v>2.5367638003642363</v>
      </c>
      <c r="AD13" s="425">
        <f t="shared" si="11"/>
        <v>40.214058271526099</v>
      </c>
      <c r="AE13" s="318"/>
      <c r="AF13" s="318"/>
      <c r="AG13" s="318"/>
      <c r="AH13" s="318"/>
      <c r="AI13" s="318"/>
      <c r="AJ13" s="318"/>
      <c r="AK13" s="318"/>
      <c r="AL13" s="318"/>
      <c r="AM13" s="318"/>
      <c r="AN13" s="318"/>
      <c r="AO13" s="318"/>
      <c r="AP13" s="318"/>
      <c r="AQ13" s="318"/>
      <c r="AR13" s="318"/>
      <c r="AS13" s="318"/>
      <c r="AT13" s="318"/>
      <c r="AU13" s="318"/>
      <c r="AV13" s="318"/>
      <c r="AW13" s="318"/>
      <c r="AX13" s="318"/>
      <c r="AY13" s="318"/>
      <c r="AZ13" s="318"/>
      <c r="BA13" s="318"/>
      <c r="BB13" s="318"/>
      <c r="BC13" s="318"/>
      <c r="BD13" s="318"/>
      <c r="BE13" s="318"/>
    </row>
    <row r="14" spans="1:57" x14ac:dyDescent="0.25">
      <c r="A14" s="307">
        <f>(A13+A15)/2</f>
        <v>5825</v>
      </c>
      <c r="B14" s="308">
        <f t="shared" si="0"/>
        <v>27.929642264741499</v>
      </c>
      <c r="C14" s="309">
        <f t="shared" si="1"/>
        <v>2.4580554235397249</v>
      </c>
      <c r="D14" s="307">
        <f t="shared" si="3"/>
        <v>5533.75</v>
      </c>
      <c r="E14" s="308">
        <f t="shared" si="4"/>
        <v>30.550237224127059</v>
      </c>
      <c r="F14" s="310">
        <f t="shared" si="5"/>
        <v>6116.25</v>
      </c>
      <c r="G14" s="308">
        <f t="shared" si="6"/>
        <v>25.466980101190575</v>
      </c>
      <c r="H14" s="308">
        <f t="shared" si="7"/>
        <v>2.2614109896565471</v>
      </c>
      <c r="I14" s="309">
        <f t="shared" si="8"/>
        <v>2.6546998574229033</v>
      </c>
      <c r="J14" s="491" t="s">
        <v>99</v>
      </c>
      <c r="K14" s="489"/>
      <c r="L14" s="489"/>
      <c r="M14" s="489"/>
      <c r="N14" s="318"/>
      <c r="AA14" s="307">
        <f t="shared" si="2"/>
        <v>5825</v>
      </c>
      <c r="AB14" s="308">
        <f t="shared" si="9"/>
        <v>27.929642264741499</v>
      </c>
      <c r="AC14" s="312">
        <f t="shared" si="10"/>
        <v>2.422155956785792</v>
      </c>
      <c r="AD14" s="425">
        <f t="shared" si="11"/>
        <v>47.279371065871132</v>
      </c>
      <c r="AE14" s="318"/>
      <c r="AF14" s="318"/>
      <c r="AG14" s="318"/>
      <c r="AH14" s="318"/>
      <c r="AI14" s="318"/>
      <c r="AJ14" s="318"/>
      <c r="AK14" s="318"/>
      <c r="AL14" s="318"/>
      <c r="AM14" s="318"/>
      <c r="AN14" s="318"/>
      <c r="AO14" s="318"/>
      <c r="AP14" s="318"/>
      <c r="AQ14" s="318"/>
      <c r="AR14" s="318"/>
      <c r="AS14" s="318"/>
      <c r="AT14" s="318"/>
      <c r="AU14" s="318"/>
      <c r="AV14" s="318"/>
      <c r="AW14" s="318"/>
      <c r="AX14" s="318"/>
      <c r="AY14" s="318"/>
      <c r="AZ14" s="318"/>
      <c r="BA14" s="318"/>
      <c r="BB14" s="318"/>
      <c r="BC14" s="318"/>
      <c r="BD14" s="318"/>
      <c r="BE14" s="318"/>
    </row>
    <row r="15" spans="1:57" s="319" customFormat="1" x14ac:dyDescent="0.25">
      <c r="A15" s="313">
        <f>$F$3</f>
        <v>7600</v>
      </c>
      <c r="B15" s="314">
        <f t="shared" si="0"/>
        <v>21.539868960159218</v>
      </c>
      <c r="C15" s="315">
        <f t="shared" si="1"/>
        <v>2.3771875742807049</v>
      </c>
      <c r="D15" s="316">
        <f t="shared" si="3"/>
        <v>7220</v>
      </c>
      <c r="E15" s="314">
        <f t="shared" si="4"/>
        <v>24.000979646408229</v>
      </c>
      <c r="F15" s="317">
        <f t="shared" si="5"/>
        <v>7980</v>
      </c>
      <c r="G15" s="314">
        <f t="shared" si="6"/>
        <v>19.174890760226887</v>
      </c>
      <c r="H15" s="314">
        <f t="shared" si="7"/>
        <v>2.1870125683382486</v>
      </c>
      <c r="I15" s="315">
        <f t="shared" si="8"/>
        <v>2.5673625802231617</v>
      </c>
      <c r="J15" s="321">
        <f>A19</f>
        <v>11000</v>
      </c>
      <c r="K15" s="318">
        <v>0</v>
      </c>
      <c r="L15" s="318">
        <v>0</v>
      </c>
      <c r="M15" s="318">
        <v>0</v>
      </c>
      <c r="N15" s="318"/>
      <c r="Q15" s="320"/>
      <c r="R15" s="320"/>
      <c r="S15" s="320"/>
      <c r="T15" s="320"/>
      <c r="AA15" s="307">
        <f t="shared" si="2"/>
        <v>7600</v>
      </c>
      <c r="AB15" s="308">
        <f t="shared" si="9"/>
        <v>21.539868960159218</v>
      </c>
      <c r="AC15" s="312">
        <f t="shared" si="10"/>
        <v>2.4225584601600008</v>
      </c>
      <c r="AD15" s="425">
        <f t="shared" si="11"/>
        <v>47.642276860225287</v>
      </c>
      <c r="AE15" s="318"/>
      <c r="AF15" s="318"/>
      <c r="AG15" s="318"/>
      <c r="AH15" s="318"/>
      <c r="AI15" s="318"/>
      <c r="AJ15" s="318"/>
      <c r="AK15" s="318"/>
      <c r="AL15" s="318"/>
      <c r="AM15" s="318"/>
      <c r="AN15" s="318"/>
      <c r="AO15" s="318"/>
      <c r="AP15" s="318"/>
      <c r="AQ15" s="318"/>
      <c r="AR15" s="318"/>
      <c r="AS15" s="318"/>
      <c r="AT15" s="318"/>
      <c r="AU15" s="318"/>
      <c r="AV15" s="318"/>
      <c r="AW15" s="318"/>
      <c r="AX15" s="318"/>
      <c r="AY15" s="318"/>
      <c r="AZ15" s="318"/>
      <c r="BA15" s="318"/>
      <c r="BB15" s="318"/>
      <c r="BC15" s="318"/>
      <c r="BD15" s="318"/>
      <c r="BE15" s="318"/>
    </row>
    <row r="16" spans="1:57" x14ac:dyDescent="0.25">
      <c r="A16" s="307">
        <f>(A15+A17)/2</f>
        <v>8450</v>
      </c>
      <c r="B16" s="308">
        <f t="shared" si="0"/>
        <v>18.378677333659461</v>
      </c>
      <c r="C16" s="309">
        <f t="shared" si="1"/>
        <v>2.3464532565127567</v>
      </c>
      <c r="D16" s="307">
        <f t="shared" si="3"/>
        <v>8027.5</v>
      </c>
      <c r="E16" s="308">
        <f t="shared" si="4"/>
        <v>21.010052541689102</v>
      </c>
      <c r="F16" s="310">
        <f t="shared" si="5"/>
        <v>8872.5</v>
      </c>
      <c r="G16" s="308">
        <f t="shared" si="6"/>
        <v>15.715294106569154</v>
      </c>
      <c r="H16" s="308">
        <f t="shared" si="7"/>
        <v>2.1587369959917364</v>
      </c>
      <c r="I16" s="309">
        <f t="shared" si="8"/>
        <v>2.5341695170337775</v>
      </c>
      <c r="J16" s="321">
        <f>A19</f>
        <v>11000</v>
      </c>
      <c r="K16" s="318">
        <v>60</v>
      </c>
      <c r="L16" s="318">
        <v>3.5</v>
      </c>
      <c r="M16" s="318">
        <v>70</v>
      </c>
      <c r="N16" s="318"/>
      <c r="AA16" s="307">
        <f t="shared" si="2"/>
        <v>8450</v>
      </c>
      <c r="AB16" s="308">
        <f t="shared" si="9"/>
        <v>18.378677333659461</v>
      </c>
      <c r="AC16" s="312">
        <f t="shared" si="10"/>
        <v>2.4646932915920923</v>
      </c>
      <c r="AD16" s="425">
        <f t="shared" si="11"/>
        <v>43.781119296585572</v>
      </c>
      <c r="AE16" s="318"/>
      <c r="AF16" s="318"/>
      <c r="AG16" s="318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8"/>
      <c r="AX16" s="318"/>
      <c r="AY16" s="318"/>
      <c r="AZ16" s="318"/>
      <c r="BA16" s="318"/>
      <c r="BB16" s="318"/>
      <c r="BC16" s="318"/>
      <c r="BD16" s="318"/>
      <c r="BE16" s="318"/>
    </row>
    <row r="17" spans="1:57" x14ac:dyDescent="0.25">
      <c r="A17" s="307">
        <f>(A15+A19)/2</f>
        <v>9300</v>
      </c>
      <c r="B17" s="308">
        <f t="shared" si="0"/>
        <v>14.368164098620092</v>
      </c>
      <c r="C17" s="309">
        <f t="shared" si="1"/>
        <v>2.308011977164421</v>
      </c>
      <c r="D17" s="307">
        <f t="shared" si="3"/>
        <v>8835</v>
      </c>
      <c r="E17" s="308">
        <f t="shared" si="4"/>
        <v>17.552090009066962</v>
      </c>
      <c r="F17" s="310">
        <f t="shared" si="5"/>
        <v>9765</v>
      </c>
      <c r="G17" s="308">
        <f t="shared" si="6"/>
        <v>10.917682136938158</v>
      </c>
      <c r="H17" s="308">
        <f t="shared" si="7"/>
        <v>2.1233710189912673</v>
      </c>
      <c r="I17" s="309">
        <f t="shared" si="8"/>
        <v>2.4926529353375746</v>
      </c>
      <c r="J17" s="318"/>
      <c r="K17" s="318"/>
      <c r="L17" s="318"/>
      <c r="M17" s="318"/>
      <c r="N17" s="318"/>
      <c r="AA17" s="307">
        <f t="shared" si="2"/>
        <v>9300</v>
      </c>
      <c r="AB17" s="308">
        <f t="shared" si="9"/>
        <v>14.368164098620092</v>
      </c>
      <c r="AC17" s="312">
        <f t="shared" si="10"/>
        <v>2.4970357736174744</v>
      </c>
      <c r="AD17" s="425">
        <f t="shared" si="11"/>
        <v>35.5406742861948</v>
      </c>
      <c r="AE17" s="318"/>
      <c r="AF17" s="318"/>
      <c r="AG17" s="318"/>
      <c r="AH17" s="318"/>
      <c r="AI17" s="318"/>
      <c r="AJ17" s="318"/>
      <c r="AK17" s="318"/>
      <c r="AL17" s="318"/>
      <c r="AM17" s="318"/>
      <c r="AN17" s="318"/>
      <c r="AO17" s="318"/>
      <c r="AP17" s="318"/>
      <c r="AQ17" s="318"/>
      <c r="AR17" s="318"/>
      <c r="AS17" s="318"/>
      <c r="AT17" s="318"/>
      <c r="AU17" s="318"/>
      <c r="AV17" s="318"/>
      <c r="AW17" s="318"/>
      <c r="AX17" s="318"/>
      <c r="AY17" s="318"/>
      <c r="AZ17" s="318"/>
      <c r="BA17" s="318"/>
      <c r="BB17" s="318"/>
      <c r="BC17" s="318"/>
      <c r="BD17" s="318"/>
      <c r="BE17" s="318"/>
    </row>
    <row r="18" spans="1:57" x14ac:dyDescent="0.25">
      <c r="A18" s="307">
        <f>(A17+A19)/2</f>
        <v>10150</v>
      </c>
      <c r="B18" s="308">
        <f t="shared" si="0"/>
        <v>8.5753894146402558</v>
      </c>
      <c r="C18" s="309">
        <f t="shared" si="1"/>
        <v>2.2339832894354554</v>
      </c>
      <c r="D18" s="307">
        <f t="shared" si="3"/>
        <v>9642.5</v>
      </c>
      <c r="E18" s="308">
        <f t="shared" si="4"/>
        <v>12.926978076679543</v>
      </c>
      <c r="F18" s="310">
        <f t="shared" si="5"/>
        <v>10657.5</v>
      </c>
      <c r="G18" s="308">
        <f t="shared" si="6"/>
        <v>3.5752727024574673</v>
      </c>
      <c r="H18" s="308">
        <f t="shared" si="7"/>
        <v>2.0552646262806191</v>
      </c>
      <c r="I18" s="309">
        <f t="shared" si="8"/>
        <v>2.4127019525902922</v>
      </c>
      <c r="J18" s="318"/>
      <c r="K18" s="318"/>
      <c r="L18" s="318"/>
      <c r="M18" s="318"/>
      <c r="N18" s="318"/>
      <c r="AA18" s="307">
        <f t="shared" si="2"/>
        <v>10150</v>
      </c>
      <c r="AB18" s="308">
        <f t="shared" si="9"/>
        <v>8.5753894146402558</v>
      </c>
      <c r="AC18" s="312">
        <f t="shared" si="10"/>
        <v>2.4598472573909049</v>
      </c>
      <c r="AD18" s="425">
        <f t="shared" si="11"/>
        <v>20.911399005787189</v>
      </c>
      <c r="AE18" s="318"/>
      <c r="AF18" s="318"/>
      <c r="AG18" s="318"/>
      <c r="AH18" s="318"/>
      <c r="AI18" s="318"/>
      <c r="AJ18" s="318"/>
      <c r="AK18" s="318"/>
      <c r="AL18" s="318"/>
      <c r="AM18" s="318"/>
      <c r="AN18" s="318"/>
      <c r="AO18" s="318"/>
      <c r="AP18" s="318"/>
      <c r="AQ18" s="318"/>
      <c r="AR18" s="318"/>
      <c r="AS18" s="318"/>
      <c r="AT18" s="318"/>
      <c r="AU18" s="318"/>
      <c r="AV18" s="318"/>
      <c r="AW18" s="318"/>
      <c r="AX18" s="318"/>
      <c r="AY18" s="318"/>
      <c r="AZ18" s="318"/>
      <c r="BA18" s="318"/>
      <c r="BB18" s="318"/>
      <c r="BC18" s="318"/>
      <c r="BD18" s="318"/>
      <c r="BE18" s="318"/>
    </row>
    <row r="19" spans="1:57" s="319" customFormat="1" x14ac:dyDescent="0.25">
      <c r="A19" s="313">
        <f>$J$3</f>
        <v>11000</v>
      </c>
      <c r="B19" s="314">
        <f t="shared" si="0"/>
        <v>-0.25465336030005403</v>
      </c>
      <c r="C19" s="315">
        <f t="shared" si="1"/>
        <v>2.0764822614000007</v>
      </c>
      <c r="D19" s="316">
        <f t="shared" si="3"/>
        <v>10450</v>
      </c>
      <c r="E19" s="314">
        <f t="shared" si="4"/>
        <v>6.1748228202275364</v>
      </c>
      <c r="F19" s="317">
        <f t="shared" si="5"/>
        <v>11550</v>
      </c>
      <c r="G19" s="314">
        <f t="shared" si="6"/>
        <v>-7.9117632791718115</v>
      </c>
      <c r="H19" s="314">
        <f t="shared" si="7"/>
        <v>1.9103636804880006</v>
      </c>
      <c r="I19" s="315">
        <f t="shared" si="8"/>
        <v>2.242600842312001</v>
      </c>
      <c r="J19" s="318"/>
      <c r="K19" s="318"/>
      <c r="L19" s="318"/>
      <c r="M19" s="318"/>
      <c r="N19" s="318"/>
      <c r="Q19" s="320"/>
      <c r="R19" s="320"/>
      <c r="S19" s="320"/>
      <c r="T19" s="320"/>
      <c r="AA19" s="307">
        <f t="shared" si="2"/>
        <v>11000</v>
      </c>
      <c r="AB19" s="308">
        <f t="shared" si="9"/>
        <v>-0.25465336030005403</v>
      </c>
      <c r="AC19" s="312">
        <f t="shared" si="10"/>
        <v>2.2611397034999996</v>
      </c>
      <c r="AD19" s="425">
        <f t="shared" si="11"/>
        <v>-2.7835715570000161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8"/>
      <c r="AV19" s="318"/>
      <c r="AW19" s="318"/>
      <c r="AX19" s="318"/>
      <c r="AY19" s="318"/>
      <c r="AZ19" s="318"/>
      <c r="BA19" s="318"/>
      <c r="BB19" s="318"/>
      <c r="BC19" s="318"/>
      <c r="BD19" s="318"/>
      <c r="BE19" s="318"/>
    </row>
    <row r="20" spans="1:57" x14ac:dyDescent="0.25">
      <c r="A20" s="307">
        <f>(A19+A21)/2</f>
        <v>11500</v>
      </c>
      <c r="B20" s="308">
        <f t="shared" si="0"/>
        <v>-7.5009134330281597</v>
      </c>
      <c r="C20" s="309">
        <f t="shared" si="1"/>
        <v>1.9168084970062509</v>
      </c>
      <c r="D20" s="307"/>
      <c r="E20" s="308"/>
      <c r="F20" s="310"/>
      <c r="G20" s="308"/>
      <c r="H20" s="310"/>
      <c r="I20" s="311"/>
      <c r="AA20" s="307">
        <f t="shared" si="2"/>
        <v>11500</v>
      </c>
      <c r="AB20" s="308">
        <f t="shared" si="9"/>
        <v>-7.5009134330281597</v>
      </c>
      <c r="AC20" s="312">
        <f t="shared" si="10"/>
        <v>2.0182718673281279</v>
      </c>
      <c r="AD20" s="425">
        <f t="shared" si="11"/>
        <v>-22.305689471593723</v>
      </c>
    </row>
    <row r="21" spans="1:57" ht="13.2" thickBot="1" x14ac:dyDescent="0.3">
      <c r="A21" s="322">
        <f>$N$3</f>
        <v>12000</v>
      </c>
      <c r="B21" s="323">
        <f t="shared" si="0"/>
        <v>-16.737657513600055</v>
      </c>
      <c r="C21" s="324">
        <f t="shared" si="1"/>
        <v>1.6844520287999956</v>
      </c>
      <c r="D21" s="322"/>
      <c r="E21" s="323"/>
      <c r="F21" s="325"/>
      <c r="G21" s="323"/>
      <c r="H21" s="325"/>
      <c r="I21" s="326"/>
      <c r="AA21" s="322">
        <f t="shared" si="2"/>
        <v>12000</v>
      </c>
      <c r="AB21" s="323">
        <f t="shared" si="9"/>
        <v>-16.737657513600055</v>
      </c>
      <c r="AC21" s="327">
        <f t="shared" si="10"/>
        <v>1.6422846080000042</v>
      </c>
      <c r="AD21" s="426">
        <f t="shared" si="11"/>
        <v>-46.967926564000038</v>
      </c>
    </row>
    <row r="49" spans="1:32" ht="13.2" x14ac:dyDescent="0.25">
      <c r="X49" s="507"/>
      <c r="Y49" s="507"/>
    </row>
    <row r="50" spans="1:32" ht="13.2" thickBot="1" x14ac:dyDescent="0.3">
      <c r="X50" s="328"/>
      <c r="Y50" s="329"/>
    </row>
    <row r="51" spans="1:32" ht="13.2" thickBot="1" x14ac:dyDescent="0.3">
      <c r="A51" s="508" t="s">
        <v>164</v>
      </c>
      <c r="B51" s="509"/>
      <c r="C51" s="509"/>
      <c r="D51" s="509"/>
      <c r="E51" s="509"/>
      <c r="F51" s="509"/>
      <c r="G51" s="509"/>
      <c r="H51" s="509"/>
      <c r="I51" s="509"/>
      <c r="J51" s="509"/>
      <c r="K51" s="509"/>
      <c r="L51" s="510"/>
      <c r="M51" s="279"/>
      <c r="X51" s="328"/>
      <c r="Y51" s="329"/>
    </row>
    <row r="52" spans="1:32" x14ac:dyDescent="0.25">
      <c r="A52" s="330" t="s">
        <v>2</v>
      </c>
      <c r="B52" s="331" t="s">
        <v>3</v>
      </c>
      <c r="C52" s="331" t="s">
        <v>4</v>
      </c>
      <c r="D52" s="331" t="s">
        <v>5</v>
      </c>
      <c r="E52" s="331" t="s">
        <v>6</v>
      </c>
      <c r="F52" s="423" t="s">
        <v>7</v>
      </c>
      <c r="G52" s="330" t="s">
        <v>8</v>
      </c>
      <c r="H52" s="331" t="s">
        <v>9</v>
      </c>
      <c r="I52" s="331" t="s">
        <v>10</v>
      </c>
      <c r="J52" s="331" t="s">
        <v>11</v>
      </c>
      <c r="K52" s="331" t="s">
        <v>12</v>
      </c>
      <c r="L52" s="332" t="s">
        <v>13</v>
      </c>
      <c r="M52" s="333"/>
      <c r="X52" s="328"/>
      <c r="Y52" s="329"/>
    </row>
    <row r="53" spans="1:32" ht="15" customHeight="1" thickBot="1" x14ac:dyDescent="0.3">
      <c r="A53" s="77">
        <v>51.682510000000001</v>
      </c>
      <c r="B53" s="78">
        <v>-5.8023160000000001E-3</v>
      </c>
      <c r="C53" s="78">
        <v>4.3556600000000002E-8</v>
      </c>
      <c r="D53" s="78">
        <v>8.7070209999999995E-11</v>
      </c>
      <c r="E53" s="78">
        <v>-8.1329720000000005E-15</v>
      </c>
      <c r="F53" s="79">
        <v>0</v>
      </c>
      <c r="G53" s="77">
        <v>2.7954810000000001</v>
      </c>
      <c r="H53" s="78">
        <v>-1.197542E-5</v>
      </c>
      <c r="I53" s="78">
        <v>-8.6592760000000003E-9</v>
      </c>
      <c r="J53" s="78">
        <v>1.653803E-12</v>
      </c>
      <c r="K53" s="78">
        <v>-8.4307059999999995E-17</v>
      </c>
      <c r="L53" s="164">
        <v>0</v>
      </c>
      <c r="M53" s="334"/>
      <c r="X53" s="328"/>
      <c r="Y53" s="329"/>
    </row>
    <row r="54" spans="1:32" x14ac:dyDescent="0.25">
      <c r="X54" s="335"/>
      <c r="Y54" s="329"/>
    </row>
    <row r="55" spans="1:32" ht="13.2" thickBot="1" x14ac:dyDescent="0.3"/>
    <row r="56" spans="1:32" ht="13.2" thickBot="1" x14ac:dyDescent="0.3">
      <c r="A56" s="511" t="s">
        <v>150</v>
      </c>
      <c r="B56" s="512"/>
      <c r="C56" s="336">
        <v>1</v>
      </c>
      <c r="D56" s="513" t="s">
        <v>149</v>
      </c>
      <c r="E56" s="514"/>
      <c r="F56" s="514"/>
      <c r="G56" s="336">
        <v>20</v>
      </c>
      <c r="H56" s="495" t="s">
        <v>198</v>
      </c>
      <c r="I56" s="500"/>
      <c r="J56" s="500"/>
      <c r="K56" s="497"/>
      <c r="L56" s="497"/>
      <c r="M56" s="497"/>
      <c r="N56" s="497"/>
      <c r="O56" s="497"/>
      <c r="P56" s="498"/>
      <c r="Q56" s="515" t="s">
        <v>76</v>
      </c>
      <c r="R56" s="516"/>
      <c r="S56" s="517"/>
      <c r="T56" s="495" t="s">
        <v>197</v>
      </c>
      <c r="U56" s="500"/>
      <c r="V56" s="500"/>
      <c r="W56" s="499"/>
      <c r="AA56" s="280"/>
      <c r="AB56" s="280"/>
      <c r="AC56" s="280"/>
      <c r="AD56" s="280"/>
    </row>
    <row r="57" spans="1:32" ht="13.2" thickBot="1" x14ac:dyDescent="0.3">
      <c r="A57" s="492" t="s">
        <v>148</v>
      </c>
      <c r="B57" s="493"/>
      <c r="C57" s="493"/>
      <c r="D57" s="493"/>
      <c r="E57" s="493"/>
      <c r="F57" s="493"/>
      <c r="G57" s="494"/>
      <c r="H57" s="495" t="s">
        <v>87</v>
      </c>
      <c r="I57" s="496"/>
      <c r="J57" s="496"/>
      <c r="K57" s="497"/>
      <c r="L57" s="497"/>
      <c r="M57" s="497"/>
      <c r="N57" s="497"/>
      <c r="O57" s="497"/>
      <c r="P57" s="498"/>
      <c r="Q57" s="495" t="s">
        <v>87</v>
      </c>
      <c r="R57" s="496"/>
      <c r="S57" s="499"/>
      <c r="T57" s="495" t="s">
        <v>87</v>
      </c>
      <c r="U57" s="496"/>
      <c r="V57" s="496"/>
      <c r="W57" s="499"/>
      <c r="X57" s="495" t="s">
        <v>77</v>
      </c>
      <c r="Y57" s="500"/>
      <c r="Z57" s="500"/>
      <c r="AA57" s="500"/>
      <c r="AB57" s="501"/>
      <c r="AC57" s="280"/>
      <c r="AD57" s="280"/>
    </row>
    <row r="58" spans="1:32" x14ac:dyDescent="0.25">
      <c r="A58" s="298" t="s">
        <v>139</v>
      </c>
      <c r="B58" s="275" t="s">
        <v>70</v>
      </c>
      <c r="C58" s="275" t="s">
        <v>142</v>
      </c>
      <c r="D58" s="275" t="s">
        <v>144</v>
      </c>
      <c r="E58" s="337" t="s">
        <v>151</v>
      </c>
      <c r="F58" s="337" t="s">
        <v>146</v>
      </c>
      <c r="G58" s="292" t="s">
        <v>147</v>
      </c>
      <c r="H58" s="274" t="s">
        <v>153</v>
      </c>
      <c r="I58" s="337" t="s">
        <v>154</v>
      </c>
      <c r="J58" s="292" t="s">
        <v>155</v>
      </c>
      <c r="K58" s="274" t="s">
        <v>156</v>
      </c>
      <c r="L58" s="337" t="s">
        <v>157</v>
      </c>
      <c r="M58" s="338" t="s">
        <v>158</v>
      </c>
      <c r="N58" s="274" t="s">
        <v>160</v>
      </c>
      <c r="O58" s="337" t="s">
        <v>161</v>
      </c>
      <c r="P58" s="292" t="s">
        <v>162</v>
      </c>
      <c r="Q58" s="274" t="s">
        <v>70</v>
      </c>
      <c r="R58" s="275" t="s">
        <v>72</v>
      </c>
      <c r="S58" s="276" t="s">
        <v>74</v>
      </c>
      <c r="T58" s="274" t="s">
        <v>70</v>
      </c>
      <c r="U58" s="275" t="s">
        <v>72</v>
      </c>
      <c r="V58" s="275" t="s">
        <v>74</v>
      </c>
      <c r="W58" s="276" t="s">
        <v>93</v>
      </c>
      <c r="X58" s="339" t="s">
        <v>81</v>
      </c>
      <c r="Y58" s="340" t="s">
        <v>79</v>
      </c>
      <c r="Z58" s="340" t="s">
        <v>82</v>
      </c>
      <c r="AA58" s="341" t="s">
        <v>83</v>
      </c>
      <c r="AB58" s="342" t="s">
        <v>91</v>
      </c>
      <c r="AC58" s="502" t="s">
        <v>94</v>
      </c>
      <c r="AD58" s="503"/>
      <c r="AE58" s="504"/>
    </row>
    <row r="59" spans="1:32" ht="13.2" thickBot="1" x14ac:dyDescent="0.3">
      <c r="A59" s="293" t="s">
        <v>141</v>
      </c>
      <c r="B59" s="294" t="s">
        <v>140</v>
      </c>
      <c r="C59" s="294" t="s">
        <v>143</v>
      </c>
      <c r="D59" s="294" t="s">
        <v>145</v>
      </c>
      <c r="E59" s="343" t="s">
        <v>89</v>
      </c>
      <c r="F59" s="343" t="s">
        <v>89</v>
      </c>
      <c r="G59" s="326" t="s">
        <v>152</v>
      </c>
      <c r="H59" s="293" t="s">
        <v>71</v>
      </c>
      <c r="I59" s="343" t="s">
        <v>71</v>
      </c>
      <c r="J59" s="326" t="s">
        <v>163</v>
      </c>
      <c r="K59" s="293" t="s">
        <v>73</v>
      </c>
      <c r="L59" s="343" t="s">
        <v>73</v>
      </c>
      <c r="M59" s="344" t="s">
        <v>163</v>
      </c>
      <c r="N59" s="293" t="s">
        <v>159</v>
      </c>
      <c r="O59" s="343" t="s">
        <v>159</v>
      </c>
      <c r="P59" s="326" t="s">
        <v>163</v>
      </c>
      <c r="Q59" s="293" t="s">
        <v>71</v>
      </c>
      <c r="R59" s="294" t="s">
        <v>73</v>
      </c>
      <c r="S59" s="295" t="s">
        <v>75</v>
      </c>
      <c r="T59" s="293" t="s">
        <v>71</v>
      </c>
      <c r="U59" s="294" t="s">
        <v>73</v>
      </c>
      <c r="V59" s="294" t="s">
        <v>75</v>
      </c>
      <c r="W59" s="295" t="s">
        <v>92</v>
      </c>
      <c r="X59" s="345" t="s">
        <v>73</v>
      </c>
      <c r="Y59" s="294" t="s">
        <v>73</v>
      </c>
      <c r="Z59" s="294" t="s">
        <v>75</v>
      </c>
      <c r="AA59" s="296" t="s">
        <v>75</v>
      </c>
      <c r="AB59" s="346" t="s">
        <v>92</v>
      </c>
      <c r="AC59" s="293" t="s">
        <v>72</v>
      </c>
      <c r="AD59" s="294" t="s">
        <v>74</v>
      </c>
      <c r="AE59" s="295" t="s">
        <v>93</v>
      </c>
    </row>
    <row r="60" spans="1:32" x14ac:dyDescent="0.25">
      <c r="A60" s="347">
        <v>0.68500000000000005</v>
      </c>
      <c r="B60" s="348">
        <v>2.2999999999999998</v>
      </c>
      <c r="C60" s="349">
        <v>1497.3</v>
      </c>
      <c r="D60" s="348">
        <v>20.82</v>
      </c>
      <c r="E60" s="350">
        <f>ROUND(C60*D60/9549,3)</f>
        <v>3.2650000000000001</v>
      </c>
      <c r="F60" s="351">
        <v>3.2639999999999998</v>
      </c>
      <c r="G60" s="352" t="str">
        <f>IF(OR(E60-F60&gt;0.001*F60,E60-F60&lt;(-0.001)*F60),"ALARM","OK")</f>
        <v>OK</v>
      </c>
      <c r="H60" s="353">
        <f>ROUNDUP((B60*6.28981)*(3500/C60),1)</f>
        <v>33.9</v>
      </c>
      <c r="I60" s="354">
        <v>33.880000000000003</v>
      </c>
      <c r="J60" s="355" t="str">
        <f>IF(OR(H60-I60&gt;0.005*I60,H60-I60&lt;(-0.005)*I60),"ALARM","OK")</f>
        <v>OK</v>
      </c>
      <c r="K60" s="356">
        <f>ROUNDUP(((A60-0.13)*(1000/9.81)*$C$56*3.28/$G$56)*(3500/C60)^2,2)</f>
        <v>50.699999999999996</v>
      </c>
      <c r="L60" s="348">
        <f>L73/$G$56</f>
        <v>51.488</v>
      </c>
      <c r="M60" s="357" t="str">
        <f t="shared" ref="M60:M70" si="12">IF(OR(K60-L60&gt;0.005*L60,K60-L60&lt;(-0.005)*L60),"ALARM","OK")</f>
        <v>ALARM</v>
      </c>
      <c r="N60" s="358">
        <f>ROUNDUP((F60/(0.746*$G$56))*(3500/C60)^3,3)</f>
        <v>2.7949999999999999</v>
      </c>
      <c r="O60" s="348">
        <f>O73/$G$56</f>
        <v>2.7950500000000003</v>
      </c>
      <c r="P60" s="352" t="str">
        <f t="shared" ref="P60:P70" si="13">IF(OR(N60-O60&gt;0.005*O60,N60-O60&lt;(-0.005)*O60),"ALARM","OK")</f>
        <v>OK</v>
      </c>
      <c r="Q60" s="298">
        <v>0</v>
      </c>
      <c r="R60" s="299">
        <f>B9</f>
        <v>49.358519999999999</v>
      </c>
      <c r="S60" s="300">
        <f>C9</f>
        <v>2.8245</v>
      </c>
      <c r="T60" s="298">
        <v>0</v>
      </c>
      <c r="U60" s="299">
        <f>A53</f>
        <v>51.682510000000001</v>
      </c>
      <c r="V60" s="299">
        <f>G53</f>
        <v>2.7954810000000001</v>
      </c>
      <c r="W60" s="359"/>
      <c r="X60" s="360"/>
      <c r="Y60" s="361"/>
      <c r="Z60" s="361"/>
      <c r="AA60" s="362"/>
      <c r="AB60" s="363"/>
      <c r="AC60" s="364"/>
      <c r="AD60" s="365"/>
      <c r="AE60" s="366"/>
    </row>
    <row r="61" spans="1:32" x14ac:dyDescent="0.25">
      <c r="A61" s="367">
        <v>0.42099999999999999</v>
      </c>
      <c r="B61" s="368">
        <v>353.24</v>
      </c>
      <c r="C61" s="369">
        <v>1498</v>
      </c>
      <c r="D61" s="368">
        <v>19.920000000000002</v>
      </c>
      <c r="E61" s="370">
        <f t="shared" ref="E61:E70" si="14">ROUND(C61*D61/9549,3)</f>
        <v>3.125</v>
      </c>
      <c r="F61" s="371">
        <v>3.1240000000000001</v>
      </c>
      <c r="G61" s="372" t="str">
        <f t="shared" ref="G61:G70" si="15">IF(OR(E61-F61&gt;0.001*F61,E61-F61&lt;(-0.001)*F61),"ALARM","OK")</f>
        <v>OK</v>
      </c>
      <c r="H61" s="373">
        <f t="shared" ref="H61:H70" si="16">ROUNDUP((B61*6.28981)*(3500/C61),1)</f>
        <v>5191.2000000000007</v>
      </c>
      <c r="I61" s="368">
        <v>5191.1400000000003</v>
      </c>
      <c r="J61" s="372" t="str">
        <f t="shared" ref="J61:J70" si="17">IF(OR(H61-I61&gt;0.005*I61,H61-I61&lt;(-0.005)*I61),"ALARM","OK")</f>
        <v>OK</v>
      </c>
      <c r="K61" s="356">
        <f t="shared" ref="K61:K70" si="18">ROUNDUP(((A61-0.13)*(1000/9.81)*$C$56*3.28/$G$56)*(3500/C61)^2,2)</f>
        <v>26.560000000000002</v>
      </c>
      <c r="L61" s="348">
        <f t="shared" ref="L61:L67" si="19">L74/$G$56</f>
        <v>28.8565</v>
      </c>
      <c r="M61" s="374" t="str">
        <f t="shared" si="12"/>
        <v>ALARM</v>
      </c>
      <c r="N61" s="375">
        <f t="shared" ref="N61:N70" si="20">ROUNDUP((F61/(0.746*$G$56))*(3500/C61)^3,3)</f>
        <v>2.6709999999999998</v>
      </c>
      <c r="O61" s="348">
        <f t="shared" ref="O61:O67" si="21">O74/$G$56</f>
        <v>2.6717</v>
      </c>
      <c r="P61" s="372" t="str">
        <f t="shared" si="13"/>
        <v>OK</v>
      </c>
      <c r="Q61" s="307">
        <f>(Q60+Q62)/2</f>
        <v>250</v>
      </c>
      <c r="R61" s="308">
        <f t="shared" ref="R61:R72" si="22">$O$3+$P$3*Q61+$Q$3*Q61^2+$R$3*Q61^3+$S$3*Q61^4+$T$3*Q61^5</f>
        <v>49.228896456730176</v>
      </c>
      <c r="S61" s="309">
        <f t="shared" ref="S61:S72" si="23">$U$3+$V$3*Q61+$W$3*Q61^2+$X$3*Q61^3+$Y$3*Q61^4+$Z$3*Q61^5</f>
        <v>2.767020703856836</v>
      </c>
      <c r="T61" s="307">
        <f>(T60+T62)/2</f>
        <v>250</v>
      </c>
      <c r="U61" s="308">
        <f t="shared" ref="U61:U72" si="24">$A$53+$B$53*T61+$C$53*T61^2+$D$53*T61^3+$E$53*T61^4+$F$53*T61^5</f>
        <v>50.23598199010938</v>
      </c>
      <c r="V61" s="308">
        <f t="shared" ref="V61:V72" si="25">$G$53+$H$53*T61+$I$53*T61^2+$J$53*T61^3+$K$53*T61^4+$L$53*T61^5</f>
        <v>2.7919714515974219</v>
      </c>
      <c r="W61" s="376"/>
      <c r="X61" s="377"/>
      <c r="Y61" s="378"/>
      <c r="Z61" s="378"/>
      <c r="AA61" s="379"/>
      <c r="AB61" s="334"/>
      <c r="AC61" s="380"/>
      <c r="AD61" s="381"/>
      <c r="AE61" s="382"/>
    </row>
    <row r="62" spans="1:32" x14ac:dyDescent="0.25">
      <c r="A62" s="367">
        <v>0.39500000000000002</v>
      </c>
      <c r="B62" s="368">
        <v>405.34</v>
      </c>
      <c r="C62" s="369">
        <v>1498.5</v>
      </c>
      <c r="D62" s="368">
        <v>19.829999999999998</v>
      </c>
      <c r="E62" s="370">
        <f t="shared" si="14"/>
        <v>3.1120000000000001</v>
      </c>
      <c r="F62" s="371">
        <v>3.1110000000000002</v>
      </c>
      <c r="G62" s="372" t="str">
        <f t="shared" si="15"/>
        <v>OK</v>
      </c>
      <c r="H62" s="383">
        <f t="shared" si="16"/>
        <v>5954.9000000000005</v>
      </c>
      <c r="I62" s="368">
        <v>5954.76</v>
      </c>
      <c r="J62" s="372" t="str">
        <f t="shared" si="17"/>
        <v>OK</v>
      </c>
      <c r="K62" s="356">
        <f t="shared" si="18"/>
        <v>24.17</v>
      </c>
      <c r="L62" s="348">
        <f t="shared" si="19"/>
        <v>26.911999999999999</v>
      </c>
      <c r="M62" s="374" t="str">
        <f t="shared" si="12"/>
        <v>ALARM</v>
      </c>
      <c r="N62" s="384">
        <f t="shared" si="20"/>
        <v>2.657</v>
      </c>
      <c r="O62" s="348">
        <f t="shared" si="21"/>
        <v>2.6578499999999998</v>
      </c>
      <c r="P62" s="372" t="str">
        <f t="shared" si="13"/>
        <v>OK</v>
      </c>
      <c r="Q62" s="313">
        <f>$C$3</f>
        <v>500</v>
      </c>
      <c r="R62" s="314">
        <f t="shared" si="22"/>
        <v>48.950690946678115</v>
      </c>
      <c r="S62" s="315">
        <f t="shared" si="23"/>
        <v>2.7212485692937505</v>
      </c>
      <c r="T62" s="313">
        <f>$C$3</f>
        <v>500</v>
      </c>
      <c r="U62" s="314">
        <f t="shared" si="24"/>
        <v>48.802616615499993</v>
      </c>
      <c r="V62" s="314">
        <f t="shared" si="25"/>
        <v>2.7875299271837504</v>
      </c>
      <c r="W62" s="385">
        <f t="shared" ref="W62:W70" si="26">(T62*U62*100)/(135788*V62)</f>
        <v>6.4466216416771456</v>
      </c>
      <c r="X62" s="386">
        <f t="shared" ref="X62:X70" si="27">E11</f>
        <v>51.43411639756718</v>
      </c>
      <c r="Y62" s="387">
        <f t="shared" ref="Y62:AA70" si="28">G11</f>
        <v>46.469380873371669</v>
      </c>
      <c r="Z62" s="387">
        <f t="shared" si="28"/>
        <v>2.5035486837502505</v>
      </c>
      <c r="AA62" s="387">
        <f t="shared" si="28"/>
        <v>2.9389484548372509</v>
      </c>
      <c r="AB62" s="334"/>
      <c r="AC62" s="388" t="str">
        <f t="shared" ref="AC62:AC70" si="29">IF(OR(U62&gt;X62,U62&lt;Y62),"FAIL","PASS")</f>
        <v>PASS</v>
      </c>
      <c r="AD62" s="389" t="str">
        <f t="shared" ref="AD62:AD70" si="30">IF(OR(V62&gt;AA62,V62&lt;Z62),"FAIL","PASS")</f>
        <v>PASS</v>
      </c>
      <c r="AE62" s="390"/>
      <c r="AF62" s="391" t="s">
        <v>95</v>
      </c>
    </row>
    <row r="63" spans="1:32" x14ac:dyDescent="0.25">
      <c r="A63" s="367">
        <v>0.373</v>
      </c>
      <c r="B63" s="368">
        <v>455.09</v>
      </c>
      <c r="C63" s="369">
        <v>1498.9</v>
      </c>
      <c r="D63" s="368">
        <v>19.8</v>
      </c>
      <c r="E63" s="370">
        <f t="shared" si="14"/>
        <v>3.1080000000000001</v>
      </c>
      <c r="F63" s="371">
        <v>3.1070000000000002</v>
      </c>
      <c r="G63" s="372" t="str">
        <f t="shared" si="15"/>
        <v>OK</v>
      </c>
      <c r="H63" s="373">
        <f t="shared" si="16"/>
        <v>6684</v>
      </c>
      <c r="I63" s="368">
        <v>6683.95</v>
      </c>
      <c r="J63" s="372" t="str">
        <f t="shared" si="17"/>
        <v>OK</v>
      </c>
      <c r="K63" s="356">
        <f t="shared" si="18"/>
        <v>22.150000000000002</v>
      </c>
      <c r="L63" s="348">
        <f t="shared" si="19"/>
        <v>25.1645</v>
      </c>
      <c r="M63" s="374" t="str">
        <f t="shared" si="12"/>
        <v>ALARM</v>
      </c>
      <c r="N63" s="392">
        <f t="shared" si="20"/>
        <v>2.6519999999999997</v>
      </c>
      <c r="O63" s="348">
        <f t="shared" si="21"/>
        <v>2.6524000000000001</v>
      </c>
      <c r="P63" s="372" t="str">
        <f t="shared" si="13"/>
        <v>OK</v>
      </c>
      <c r="Q63" s="307">
        <f>(Q62+Q64)/2</f>
        <v>2275</v>
      </c>
      <c r="R63" s="308">
        <f t="shared" si="22"/>
        <v>43.716916304623318</v>
      </c>
      <c r="S63" s="309">
        <f t="shared" si="23"/>
        <v>2.5884125314547242</v>
      </c>
      <c r="T63" s="307">
        <f>(T62+T64)/2</f>
        <v>2275</v>
      </c>
      <c r="U63" s="308">
        <f t="shared" si="24"/>
        <v>39.515027310329032</v>
      </c>
      <c r="V63" s="308">
        <f t="shared" si="25"/>
        <v>2.7406341939450769</v>
      </c>
      <c r="W63" s="393">
        <f t="shared" si="26"/>
        <v>24.156345010562664</v>
      </c>
      <c r="X63" s="394">
        <f t="shared" si="27"/>
        <v>46.387570318098369</v>
      </c>
      <c r="Y63" s="395">
        <f t="shared" si="28"/>
        <v>41.081662542833939</v>
      </c>
      <c r="Z63" s="395">
        <f t="shared" si="28"/>
        <v>2.3813395289383466</v>
      </c>
      <c r="AA63" s="395">
        <f t="shared" si="28"/>
        <v>2.7954855339711022</v>
      </c>
      <c r="AB63" s="334"/>
      <c r="AC63" s="396" t="str">
        <f t="shared" si="29"/>
        <v>FAIL</v>
      </c>
      <c r="AD63" s="397" t="str">
        <f t="shared" si="30"/>
        <v>PASS</v>
      </c>
      <c r="AE63" s="390"/>
    </row>
    <row r="64" spans="1:32" x14ac:dyDescent="0.25">
      <c r="A64" s="367">
        <v>0.33200000000000002</v>
      </c>
      <c r="B64" s="368">
        <v>502.59</v>
      </c>
      <c r="C64" s="369">
        <v>1498.7</v>
      </c>
      <c r="D64" s="368">
        <v>19.8</v>
      </c>
      <c r="E64" s="370">
        <f t="shared" si="14"/>
        <v>3.1080000000000001</v>
      </c>
      <c r="F64" s="371">
        <v>3.1070000000000002</v>
      </c>
      <c r="G64" s="372" t="str">
        <f t="shared" si="15"/>
        <v>OK</v>
      </c>
      <c r="H64" s="373">
        <f t="shared" si="16"/>
        <v>7382.6</v>
      </c>
      <c r="I64" s="368">
        <v>7382.47</v>
      </c>
      <c r="J64" s="372" t="str">
        <f t="shared" si="17"/>
        <v>OK</v>
      </c>
      <c r="K64" s="356">
        <f t="shared" si="18"/>
        <v>18.420000000000002</v>
      </c>
      <c r="L64" s="348">
        <f t="shared" si="19"/>
        <v>21.690999999999999</v>
      </c>
      <c r="M64" s="374" t="str">
        <f t="shared" si="12"/>
        <v>ALARM</v>
      </c>
      <c r="N64" s="392">
        <f t="shared" si="20"/>
        <v>2.653</v>
      </c>
      <c r="O64" s="348">
        <f t="shared" si="21"/>
        <v>2.6531500000000001</v>
      </c>
      <c r="P64" s="372" t="str">
        <f t="shared" si="13"/>
        <v>OK</v>
      </c>
      <c r="Q64" s="307">
        <f>(Q62+Q66)/2</f>
        <v>4050</v>
      </c>
      <c r="R64" s="308">
        <f t="shared" si="22"/>
        <v>35.650495457190601</v>
      </c>
      <c r="S64" s="309">
        <f t="shared" si="23"/>
        <v>2.5398848447232392</v>
      </c>
      <c r="T64" s="307">
        <f>(T62+T66)/2</f>
        <v>4050</v>
      </c>
      <c r="U64" s="308">
        <f t="shared" si="24"/>
        <v>32.493541161921172</v>
      </c>
      <c r="V64" s="308">
        <f t="shared" si="25"/>
        <v>2.692126973861936</v>
      </c>
      <c r="W64" s="393">
        <f t="shared" si="26"/>
        <v>35.999389481129448</v>
      </c>
      <c r="X64" s="394">
        <f t="shared" si="27"/>
        <v>38.42842724385185</v>
      </c>
      <c r="Y64" s="395">
        <f t="shared" si="28"/>
        <v>32.97386701503558</v>
      </c>
      <c r="Z64" s="395">
        <f t="shared" si="28"/>
        <v>2.33669405714538</v>
      </c>
      <c r="AA64" s="395">
        <f t="shared" si="28"/>
        <v>2.7430756323010983</v>
      </c>
      <c r="AB64" s="334"/>
      <c r="AC64" s="396" t="str">
        <f t="shared" si="29"/>
        <v>FAIL</v>
      </c>
      <c r="AD64" s="397" t="str">
        <f t="shared" si="30"/>
        <v>PASS</v>
      </c>
      <c r="AE64" s="390"/>
    </row>
    <row r="65" spans="1:32" x14ac:dyDescent="0.25">
      <c r="A65" s="367">
        <v>0.29199999999999998</v>
      </c>
      <c r="B65" s="368">
        <v>549.57000000000005</v>
      </c>
      <c r="C65" s="369">
        <v>1498.5</v>
      </c>
      <c r="D65" s="368">
        <v>19.760000000000002</v>
      </c>
      <c r="E65" s="370">
        <f t="shared" si="14"/>
        <v>3.101</v>
      </c>
      <c r="F65" s="371">
        <v>3.1</v>
      </c>
      <c r="G65" s="372" t="str">
        <f t="shared" si="15"/>
        <v>OK</v>
      </c>
      <c r="H65" s="373">
        <f t="shared" si="16"/>
        <v>8073.7000000000007</v>
      </c>
      <c r="I65" s="368">
        <v>8073.71</v>
      </c>
      <c r="J65" s="372" t="str">
        <f t="shared" si="17"/>
        <v>OK</v>
      </c>
      <c r="K65" s="356">
        <f t="shared" si="18"/>
        <v>14.78</v>
      </c>
      <c r="L65" s="348">
        <f t="shared" si="19"/>
        <v>18.4025</v>
      </c>
      <c r="M65" s="374" t="str">
        <f t="shared" si="12"/>
        <v>ALARM</v>
      </c>
      <c r="N65" s="392">
        <f t="shared" si="20"/>
        <v>2.6479999999999997</v>
      </c>
      <c r="O65" s="348">
        <f t="shared" si="21"/>
        <v>2.6484999999999999</v>
      </c>
      <c r="P65" s="372" t="str">
        <f t="shared" si="13"/>
        <v>OK</v>
      </c>
      <c r="Q65" s="307">
        <f>(Q64+Q66)/2</f>
        <v>5825</v>
      </c>
      <c r="R65" s="308">
        <f t="shared" si="22"/>
        <v>27.929642264741499</v>
      </c>
      <c r="S65" s="309">
        <f t="shared" si="23"/>
        <v>2.4580554235397249</v>
      </c>
      <c r="T65" s="307">
        <f>(T64+T66)/2</f>
        <v>5825</v>
      </c>
      <c r="U65" s="308">
        <f t="shared" si="24"/>
        <v>27.207603683536085</v>
      </c>
      <c r="V65" s="308">
        <f t="shared" si="25"/>
        <v>2.6617152500606882</v>
      </c>
      <c r="W65" s="393">
        <f t="shared" si="26"/>
        <v>43.849357875818711</v>
      </c>
      <c r="X65" s="394">
        <f t="shared" si="27"/>
        <v>30.550237224127059</v>
      </c>
      <c r="Y65" s="395">
        <f t="shared" si="28"/>
        <v>25.466980101190575</v>
      </c>
      <c r="Z65" s="395">
        <f t="shared" si="28"/>
        <v>2.2614109896565471</v>
      </c>
      <c r="AA65" s="395">
        <f t="shared" si="28"/>
        <v>2.6546998574229033</v>
      </c>
      <c r="AB65" s="334"/>
      <c r="AC65" s="396" t="str">
        <f t="shared" si="29"/>
        <v>PASS</v>
      </c>
      <c r="AD65" s="397" t="str">
        <f t="shared" si="30"/>
        <v>FAIL</v>
      </c>
      <c r="AE65" s="390"/>
    </row>
    <row r="66" spans="1:32" x14ac:dyDescent="0.25">
      <c r="A66" s="367">
        <v>0.248</v>
      </c>
      <c r="B66" s="368">
        <v>600.05999999999995</v>
      </c>
      <c r="C66" s="369">
        <v>1499.6</v>
      </c>
      <c r="D66" s="368">
        <v>19.71</v>
      </c>
      <c r="E66" s="370">
        <f t="shared" si="14"/>
        <v>3.0950000000000002</v>
      </c>
      <c r="F66" s="371">
        <v>3.0939999999999999</v>
      </c>
      <c r="G66" s="372" t="str">
        <f t="shared" si="15"/>
        <v>OK</v>
      </c>
      <c r="H66" s="383">
        <f t="shared" si="16"/>
        <v>8809</v>
      </c>
      <c r="I66" s="368">
        <v>8809.01</v>
      </c>
      <c r="J66" s="372" t="str">
        <f t="shared" si="17"/>
        <v>OK</v>
      </c>
      <c r="K66" s="356">
        <f t="shared" si="18"/>
        <v>10.75</v>
      </c>
      <c r="L66" s="348">
        <f t="shared" si="19"/>
        <v>15.054499999999999</v>
      </c>
      <c r="M66" s="374" t="str">
        <f t="shared" si="12"/>
        <v>ALARM</v>
      </c>
      <c r="N66" s="384">
        <f t="shared" si="20"/>
        <v>2.637</v>
      </c>
      <c r="O66" s="348">
        <f t="shared" si="21"/>
        <v>2.6379000000000001</v>
      </c>
      <c r="P66" s="372" t="str">
        <f t="shared" si="13"/>
        <v>OK</v>
      </c>
      <c r="Q66" s="313">
        <f>$F$3</f>
        <v>7600</v>
      </c>
      <c r="R66" s="314">
        <f t="shared" si="22"/>
        <v>21.539868960159218</v>
      </c>
      <c r="S66" s="315">
        <f t="shared" si="23"/>
        <v>2.3771875742807049</v>
      </c>
      <c r="T66" s="313">
        <f>$F$3</f>
        <v>7600</v>
      </c>
      <c r="U66" s="314">
        <f t="shared" si="24"/>
        <v>21.189105794252796</v>
      </c>
      <c r="V66" s="314">
        <f t="shared" si="25"/>
        <v>2.6490211545917441</v>
      </c>
      <c r="W66" s="385">
        <f t="shared" si="26"/>
        <v>44.769207169806322</v>
      </c>
      <c r="X66" s="386">
        <f t="shared" si="27"/>
        <v>24.000979646408229</v>
      </c>
      <c r="Y66" s="387">
        <f t="shared" si="28"/>
        <v>19.174890760226887</v>
      </c>
      <c r="Z66" s="387">
        <f t="shared" si="28"/>
        <v>2.1870125683382486</v>
      </c>
      <c r="AA66" s="387">
        <f t="shared" si="28"/>
        <v>2.5673625802231617</v>
      </c>
      <c r="AB66" s="398">
        <f>0.9*I3</f>
        <v>45.648204548900203</v>
      </c>
      <c r="AC66" s="388" t="str">
        <f t="shared" si="29"/>
        <v>PASS</v>
      </c>
      <c r="AD66" s="389" t="str">
        <f t="shared" si="30"/>
        <v>FAIL</v>
      </c>
      <c r="AE66" s="399" t="str">
        <f>IF(W66&lt;AB66,"FAIL","PASS")</f>
        <v>FAIL</v>
      </c>
      <c r="AF66" s="391" t="s">
        <v>96</v>
      </c>
    </row>
    <row r="67" spans="1:32" x14ac:dyDescent="0.25">
      <c r="A67" s="367">
        <v>0.11700000000000001</v>
      </c>
      <c r="B67" s="368">
        <v>687.46</v>
      </c>
      <c r="C67" s="369">
        <v>1499.4</v>
      </c>
      <c r="D67" s="368">
        <v>19.559999999999999</v>
      </c>
      <c r="E67" s="370">
        <f t="shared" si="14"/>
        <v>3.0710000000000002</v>
      </c>
      <c r="F67" s="371">
        <v>3.07</v>
      </c>
      <c r="G67" s="372" t="str">
        <f t="shared" si="15"/>
        <v>OK</v>
      </c>
      <c r="H67" s="373">
        <f t="shared" si="16"/>
        <v>10093.4</v>
      </c>
      <c r="I67" s="368">
        <v>10093.31</v>
      </c>
      <c r="J67" s="372" t="str">
        <f t="shared" si="17"/>
        <v>OK</v>
      </c>
      <c r="K67" s="356">
        <f t="shared" si="18"/>
        <v>-1.19</v>
      </c>
      <c r="L67" s="348">
        <f t="shared" si="19"/>
        <v>2.585</v>
      </c>
      <c r="M67" s="374" t="str">
        <f t="shared" si="12"/>
        <v>ALARM</v>
      </c>
      <c r="N67" s="392">
        <f t="shared" si="20"/>
        <v>2.6179999999999999</v>
      </c>
      <c r="O67" s="348">
        <f t="shared" si="21"/>
        <v>2.6185499999999999</v>
      </c>
      <c r="P67" s="372" t="str">
        <f t="shared" si="13"/>
        <v>OK</v>
      </c>
      <c r="Q67" s="307">
        <f>(Q66+Q68)/2</f>
        <v>8450</v>
      </c>
      <c r="R67" s="308">
        <f t="shared" si="22"/>
        <v>18.378677333659461</v>
      </c>
      <c r="S67" s="309">
        <f t="shared" si="23"/>
        <v>2.3464532565127567</v>
      </c>
      <c r="T67" s="307">
        <f>(T66+T68)/2</f>
        <v>8450</v>
      </c>
      <c r="U67" s="308">
        <f t="shared" si="24"/>
        <v>16.832429630031172</v>
      </c>
      <c r="V67" s="308">
        <f t="shared" si="25"/>
        <v>2.6439945292434359</v>
      </c>
      <c r="W67" s="393">
        <f t="shared" si="26"/>
        <v>39.61699882224579</v>
      </c>
      <c r="X67" s="394">
        <f t="shared" si="27"/>
        <v>21.010052541689102</v>
      </c>
      <c r="Y67" s="395">
        <f t="shared" si="28"/>
        <v>15.715294106569154</v>
      </c>
      <c r="Z67" s="395">
        <f t="shared" si="28"/>
        <v>2.1587369959917364</v>
      </c>
      <c r="AA67" s="395">
        <f t="shared" si="28"/>
        <v>2.5341695170337775</v>
      </c>
      <c r="AB67" s="334"/>
      <c r="AC67" s="396" t="str">
        <f t="shared" si="29"/>
        <v>PASS</v>
      </c>
      <c r="AD67" s="397" t="str">
        <f t="shared" si="30"/>
        <v>FAIL</v>
      </c>
      <c r="AE67" s="390"/>
    </row>
    <row r="68" spans="1:32" x14ac:dyDescent="0.25">
      <c r="A68" s="367"/>
      <c r="B68" s="368"/>
      <c r="C68" s="369"/>
      <c r="D68" s="368"/>
      <c r="E68" s="370">
        <f t="shared" si="14"/>
        <v>0</v>
      </c>
      <c r="F68" s="371"/>
      <c r="G68" s="372" t="str">
        <f t="shared" si="15"/>
        <v>OK</v>
      </c>
      <c r="H68" s="373" t="e">
        <f t="shared" si="16"/>
        <v>#DIV/0!</v>
      </c>
      <c r="I68" s="368"/>
      <c r="J68" s="372" t="e">
        <f t="shared" si="17"/>
        <v>#DIV/0!</v>
      </c>
      <c r="K68" s="356" t="e">
        <f t="shared" si="18"/>
        <v>#DIV/0!</v>
      </c>
      <c r="L68" s="368"/>
      <c r="M68" s="374" t="e">
        <f t="shared" si="12"/>
        <v>#DIV/0!</v>
      </c>
      <c r="N68" s="392" t="e">
        <f t="shared" si="20"/>
        <v>#DIV/0!</v>
      </c>
      <c r="O68" s="371"/>
      <c r="P68" s="372" t="e">
        <f t="shared" si="13"/>
        <v>#DIV/0!</v>
      </c>
      <c r="Q68" s="307">
        <f>(Q66+Q70)/2</f>
        <v>9300</v>
      </c>
      <c r="R68" s="308">
        <f t="shared" si="22"/>
        <v>14.368164098620092</v>
      </c>
      <c r="S68" s="309">
        <f t="shared" si="23"/>
        <v>2.308011977164421</v>
      </c>
      <c r="T68" s="307">
        <f>(T66+T70)/2</f>
        <v>9300</v>
      </c>
      <c r="U68" s="308">
        <f t="shared" si="24"/>
        <v>10.684853920232797</v>
      </c>
      <c r="V68" s="308">
        <f t="shared" si="25"/>
        <v>2.6347561755290942</v>
      </c>
      <c r="W68" s="393">
        <f t="shared" si="26"/>
        <v>27.774721616345978</v>
      </c>
      <c r="X68" s="394">
        <f t="shared" si="27"/>
        <v>17.552090009066962</v>
      </c>
      <c r="Y68" s="395">
        <f t="shared" si="28"/>
        <v>10.917682136938158</v>
      </c>
      <c r="Z68" s="395">
        <f t="shared" si="28"/>
        <v>2.1233710189912673</v>
      </c>
      <c r="AA68" s="395">
        <f t="shared" si="28"/>
        <v>2.4926529353375746</v>
      </c>
      <c r="AB68" s="334"/>
      <c r="AC68" s="396" t="str">
        <f t="shared" si="29"/>
        <v>FAIL</v>
      </c>
      <c r="AD68" s="397" t="str">
        <f t="shared" si="30"/>
        <v>FAIL</v>
      </c>
      <c r="AE68" s="390"/>
    </row>
    <row r="69" spans="1:32" x14ac:dyDescent="0.25">
      <c r="A69" s="367"/>
      <c r="B69" s="368"/>
      <c r="C69" s="369"/>
      <c r="D69" s="368"/>
      <c r="E69" s="370">
        <f t="shared" si="14"/>
        <v>0</v>
      </c>
      <c r="F69" s="371"/>
      <c r="G69" s="372" t="str">
        <f t="shared" si="15"/>
        <v>OK</v>
      </c>
      <c r="H69" s="373" t="e">
        <f t="shared" si="16"/>
        <v>#DIV/0!</v>
      </c>
      <c r="I69" s="368"/>
      <c r="J69" s="372" t="e">
        <f t="shared" si="17"/>
        <v>#DIV/0!</v>
      </c>
      <c r="K69" s="356" t="e">
        <f t="shared" si="18"/>
        <v>#DIV/0!</v>
      </c>
      <c r="L69" s="368"/>
      <c r="M69" s="374" t="e">
        <f t="shared" si="12"/>
        <v>#DIV/0!</v>
      </c>
      <c r="N69" s="392" t="e">
        <f t="shared" si="20"/>
        <v>#DIV/0!</v>
      </c>
      <c r="O69" s="371"/>
      <c r="P69" s="372" t="e">
        <f t="shared" si="13"/>
        <v>#DIV/0!</v>
      </c>
      <c r="Q69" s="307">
        <f>(Q68+Q70)/2</f>
        <v>10150</v>
      </c>
      <c r="R69" s="308">
        <f t="shared" si="22"/>
        <v>8.5753894146402558</v>
      </c>
      <c r="S69" s="309">
        <f t="shared" si="23"/>
        <v>2.2339832894354554</v>
      </c>
      <c r="T69" s="307">
        <f>(T68+T70)/2</f>
        <v>10150</v>
      </c>
      <c r="U69" s="308">
        <f t="shared" si="24"/>
        <v>2.003347736671671</v>
      </c>
      <c r="V69" s="308">
        <f t="shared" si="25"/>
        <v>2.6163718534565761</v>
      </c>
      <c r="W69" s="393">
        <f t="shared" si="26"/>
        <v>5.7234978213612013</v>
      </c>
      <c r="X69" s="394">
        <f t="shared" si="27"/>
        <v>12.926978076679543</v>
      </c>
      <c r="Y69" s="395">
        <f t="shared" si="28"/>
        <v>3.5752727024574673</v>
      </c>
      <c r="Z69" s="395">
        <f t="shared" si="28"/>
        <v>2.0552646262806191</v>
      </c>
      <c r="AA69" s="395">
        <f t="shared" si="28"/>
        <v>2.4127019525902922</v>
      </c>
      <c r="AB69" s="334"/>
      <c r="AC69" s="396" t="str">
        <f t="shared" si="29"/>
        <v>FAIL</v>
      </c>
      <c r="AD69" s="397" t="str">
        <f t="shared" si="30"/>
        <v>FAIL</v>
      </c>
      <c r="AE69" s="390"/>
    </row>
    <row r="70" spans="1:32" x14ac:dyDescent="0.25">
      <c r="A70" s="367"/>
      <c r="B70" s="368"/>
      <c r="C70" s="369"/>
      <c r="D70" s="368"/>
      <c r="E70" s="370">
        <f t="shared" si="14"/>
        <v>0</v>
      </c>
      <c r="F70" s="371"/>
      <c r="G70" s="372" t="str">
        <f t="shared" si="15"/>
        <v>OK</v>
      </c>
      <c r="H70" s="383" t="e">
        <f t="shared" si="16"/>
        <v>#DIV/0!</v>
      </c>
      <c r="I70" s="368"/>
      <c r="J70" s="372" t="e">
        <f t="shared" si="17"/>
        <v>#DIV/0!</v>
      </c>
      <c r="K70" s="356" t="e">
        <f t="shared" si="18"/>
        <v>#DIV/0!</v>
      </c>
      <c r="L70" s="368"/>
      <c r="M70" s="374" t="e">
        <f t="shared" si="12"/>
        <v>#DIV/0!</v>
      </c>
      <c r="N70" s="384" t="e">
        <f t="shared" si="20"/>
        <v>#DIV/0!</v>
      </c>
      <c r="O70" s="371"/>
      <c r="P70" s="372" t="e">
        <f t="shared" si="13"/>
        <v>#DIV/0!</v>
      </c>
      <c r="Q70" s="313">
        <f>$J$3</f>
        <v>11000</v>
      </c>
      <c r="R70" s="314">
        <f t="shared" si="22"/>
        <v>-0.25465336030005403</v>
      </c>
      <c r="S70" s="315">
        <f t="shared" si="23"/>
        <v>2.0764822614000007</v>
      </c>
      <c r="T70" s="313">
        <f>$J$3</f>
        <v>11000</v>
      </c>
      <c r="U70" s="314">
        <f t="shared" si="24"/>
        <v>-10.057010942000005</v>
      </c>
      <c r="V70" s="314">
        <f t="shared" si="25"/>
        <v>2.5828511115400001</v>
      </c>
      <c r="W70" s="385">
        <f t="shared" si="26"/>
        <v>-31.542843710324878</v>
      </c>
      <c r="X70" s="386">
        <f t="shared" si="27"/>
        <v>6.1748228202275364</v>
      </c>
      <c r="Y70" s="387">
        <f t="shared" si="28"/>
        <v>-7.9117632791718115</v>
      </c>
      <c r="Z70" s="387">
        <f t="shared" si="28"/>
        <v>1.9103636804880006</v>
      </c>
      <c r="AA70" s="387">
        <f t="shared" si="28"/>
        <v>2.242600842312001</v>
      </c>
      <c r="AB70" s="334"/>
      <c r="AC70" s="388" t="str">
        <f t="shared" si="29"/>
        <v>FAIL</v>
      </c>
      <c r="AD70" s="389" t="str">
        <f t="shared" si="30"/>
        <v>FAIL</v>
      </c>
      <c r="AE70" s="390"/>
      <c r="AF70" s="400" t="s">
        <v>97</v>
      </c>
    </row>
    <row r="71" spans="1:32" x14ac:dyDescent="0.25">
      <c r="A71" s="367"/>
      <c r="B71" s="368"/>
      <c r="C71" s="369"/>
      <c r="D71" s="368"/>
      <c r="E71" s="310"/>
      <c r="F71" s="371"/>
      <c r="G71" s="311"/>
      <c r="H71" s="401"/>
      <c r="I71" s="368"/>
      <c r="J71" s="311"/>
      <c r="K71" s="402"/>
      <c r="L71" s="368"/>
      <c r="M71" s="403"/>
      <c r="N71" s="404"/>
      <c r="O71" s="371"/>
      <c r="P71" s="311"/>
      <c r="Q71" s="307">
        <f>(Q70+Q72)/2</f>
        <v>11500</v>
      </c>
      <c r="R71" s="308">
        <f t="shared" si="22"/>
        <v>-7.5009134330281597</v>
      </c>
      <c r="S71" s="309">
        <f t="shared" si="23"/>
        <v>1.9168084970062509</v>
      </c>
      <c r="T71" s="307">
        <f>(T70+T72)/2</f>
        <v>11500</v>
      </c>
      <c r="U71" s="308">
        <f t="shared" si="24"/>
        <v>-19.107046607000029</v>
      </c>
      <c r="V71" s="308">
        <f t="shared" si="25"/>
        <v>2.5532663080337494</v>
      </c>
      <c r="W71" s="376"/>
      <c r="X71" s="377"/>
      <c r="Y71" s="378"/>
      <c r="Z71" s="378"/>
      <c r="AA71" s="379"/>
      <c r="AB71" s="334"/>
      <c r="AC71" s="380"/>
      <c r="AD71" s="381"/>
      <c r="AE71" s="382"/>
    </row>
    <row r="72" spans="1:32" ht="13.2" thickBot="1" x14ac:dyDescent="0.3">
      <c r="A72" s="405"/>
      <c r="B72" s="406"/>
      <c r="C72" s="407"/>
      <c r="D72" s="406"/>
      <c r="E72" s="325"/>
      <c r="F72" s="408"/>
      <c r="G72" s="326"/>
      <c r="H72" s="409"/>
      <c r="I72" s="421"/>
      <c r="J72" s="326"/>
      <c r="K72" s="410"/>
      <c r="L72" s="406"/>
      <c r="M72" s="344"/>
      <c r="N72" s="411"/>
      <c r="O72" s="408"/>
      <c r="P72" s="326"/>
      <c r="Q72" s="322">
        <f>$N$3</f>
        <v>12000</v>
      </c>
      <c r="R72" s="323">
        <f t="shared" si="22"/>
        <v>-16.737657513600055</v>
      </c>
      <c r="S72" s="324">
        <f t="shared" si="23"/>
        <v>1.6844520287999956</v>
      </c>
      <c r="T72" s="322">
        <f>$N$3</f>
        <v>12000</v>
      </c>
      <c r="U72" s="323">
        <f t="shared" si="24"/>
        <v>-29.861116112000019</v>
      </c>
      <c r="V72" s="323">
        <f t="shared" si="25"/>
        <v>2.5144206038400005</v>
      </c>
      <c r="W72" s="412"/>
      <c r="X72" s="413"/>
      <c r="Y72" s="414"/>
      <c r="Z72" s="414"/>
      <c r="AA72" s="415"/>
      <c r="AB72" s="416"/>
      <c r="AC72" s="417"/>
      <c r="AD72" s="418"/>
      <c r="AE72" s="419"/>
    </row>
    <row r="73" spans="1:32" x14ac:dyDescent="0.25">
      <c r="I73" s="422"/>
      <c r="L73" s="422">
        <v>1029.76</v>
      </c>
      <c r="O73" s="422">
        <v>55.901000000000003</v>
      </c>
    </row>
    <row r="74" spans="1:32" x14ac:dyDescent="0.25">
      <c r="I74" s="422"/>
      <c r="L74" s="422">
        <v>577.13</v>
      </c>
      <c r="O74" s="422">
        <v>53.433999999999997</v>
      </c>
    </row>
    <row r="75" spans="1:32" x14ac:dyDescent="0.25">
      <c r="I75" s="422"/>
      <c r="L75" s="422">
        <v>538.24</v>
      </c>
      <c r="O75" s="422">
        <v>53.156999999999996</v>
      </c>
    </row>
    <row r="76" spans="1:32" x14ac:dyDescent="0.25">
      <c r="I76" s="422"/>
      <c r="L76" s="422">
        <v>503.29</v>
      </c>
      <c r="O76" s="422">
        <v>53.048000000000002</v>
      </c>
    </row>
    <row r="77" spans="1:32" x14ac:dyDescent="0.25">
      <c r="I77" s="422"/>
      <c r="L77" s="422">
        <v>433.82</v>
      </c>
      <c r="O77" s="422">
        <v>53.063000000000002</v>
      </c>
    </row>
    <row r="78" spans="1:32" x14ac:dyDescent="0.25">
      <c r="I78" s="422"/>
      <c r="L78" s="422">
        <v>368.05</v>
      </c>
      <c r="O78" s="422">
        <v>52.97</v>
      </c>
    </row>
    <row r="79" spans="1:32" x14ac:dyDescent="0.25">
      <c r="I79" s="422"/>
      <c r="L79" s="422">
        <v>301.08999999999997</v>
      </c>
      <c r="O79" s="422">
        <v>52.758000000000003</v>
      </c>
    </row>
    <row r="80" spans="1:32" x14ac:dyDescent="0.25">
      <c r="I80" s="422"/>
      <c r="L80" s="422">
        <v>51.7</v>
      </c>
      <c r="O80" s="422">
        <v>52.371000000000002</v>
      </c>
    </row>
  </sheetData>
  <mergeCells count="26">
    <mergeCell ref="X49:Y49"/>
    <mergeCell ref="A1:N1"/>
    <mergeCell ref="O1:T1"/>
    <mergeCell ref="U1:Z1"/>
    <mergeCell ref="AA1:AF1"/>
    <mergeCell ref="A4:N4"/>
    <mergeCell ref="A5:C5"/>
    <mergeCell ref="D5:I5"/>
    <mergeCell ref="AA5:AD5"/>
    <mergeCell ref="D6:E6"/>
    <mergeCell ref="F6:G6"/>
    <mergeCell ref="J8:M8"/>
    <mergeCell ref="J11:M11"/>
    <mergeCell ref="J14:M14"/>
    <mergeCell ref="AC58:AE58"/>
    <mergeCell ref="A51:L51"/>
    <mergeCell ref="A56:B56"/>
    <mergeCell ref="D56:F56"/>
    <mergeCell ref="H56:P56"/>
    <mergeCell ref="Q56:S56"/>
    <mergeCell ref="T56:W56"/>
    <mergeCell ref="A57:G57"/>
    <mergeCell ref="H57:P57"/>
    <mergeCell ref="Q57:S57"/>
    <mergeCell ref="T57:W57"/>
    <mergeCell ref="X57:AB57"/>
  </mergeCells>
  <pageMargins left="0.75" right="0.75" top="1" bottom="1" header="0.5" footer="0.5"/>
  <pageSetup paperSize="3" scale="4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80"/>
  <sheetViews>
    <sheetView topLeftCell="A34" zoomScale="90" zoomScaleNormal="90" workbookViewId="0">
      <selection activeCell="AB27" sqref="AB27"/>
    </sheetView>
  </sheetViews>
  <sheetFormatPr defaultRowHeight="12.6" x14ac:dyDescent="0.25"/>
  <cols>
    <col min="1" max="1" width="12.6640625" style="255" customWidth="1"/>
    <col min="2" max="2" width="14.109375" style="255" bestFit="1" customWidth="1"/>
    <col min="3" max="3" width="15.33203125" style="255" bestFit="1" customWidth="1"/>
    <col min="4" max="4" width="14.109375" style="255" bestFit="1" customWidth="1"/>
    <col min="5" max="5" width="13" style="255" bestFit="1" customWidth="1"/>
    <col min="6" max="6" width="13.33203125" style="255" bestFit="1" customWidth="1"/>
    <col min="7" max="7" width="13.88671875" style="255" bestFit="1" customWidth="1"/>
    <col min="8" max="8" width="13.5546875" style="255" bestFit="1" customWidth="1"/>
    <col min="9" max="9" width="14.109375" style="255" bestFit="1" customWidth="1"/>
    <col min="10" max="10" width="14.44140625" style="255" bestFit="1" customWidth="1"/>
    <col min="11" max="11" width="13.88671875" style="255" bestFit="1" customWidth="1"/>
    <col min="12" max="12" width="14.6640625" style="255" bestFit="1" customWidth="1"/>
    <col min="13" max="13" width="14" style="255" customWidth="1"/>
    <col min="14" max="14" width="16.21875" style="255" bestFit="1" customWidth="1"/>
    <col min="15" max="15" width="14" style="255" bestFit="1" customWidth="1"/>
    <col min="16" max="16" width="14.109375" style="255" customWidth="1"/>
    <col min="17" max="17" width="14.88671875" style="280" bestFit="1" customWidth="1"/>
    <col min="18" max="18" width="13.88671875" style="280" bestFit="1" customWidth="1"/>
    <col min="19" max="19" width="14.44140625" style="280" bestFit="1" customWidth="1"/>
    <col min="20" max="20" width="13.5546875" style="280" bestFit="1" customWidth="1"/>
    <col min="21" max="22" width="13.88671875" style="255" bestFit="1" customWidth="1"/>
    <col min="23" max="23" width="14.6640625" style="255" bestFit="1" customWidth="1"/>
    <col min="24" max="24" width="13.5546875" style="255" bestFit="1" customWidth="1"/>
    <col min="25" max="25" width="14.6640625" style="255" bestFit="1" customWidth="1"/>
    <col min="26" max="26" width="13.5546875" style="255" bestFit="1" customWidth="1"/>
    <col min="27" max="28" width="12.21875" style="255" bestFit="1" customWidth="1"/>
    <col min="29" max="30" width="12.77734375" style="255" bestFit="1" customWidth="1"/>
    <col min="31" max="31" width="13.77734375" style="255" customWidth="1"/>
    <col min="32" max="32" width="12.77734375" style="255" bestFit="1" customWidth="1"/>
    <col min="33" max="16384" width="8.88671875" style="255"/>
  </cols>
  <sheetData>
    <row r="1" spans="1:57" ht="41.25" customHeight="1" thickBot="1" x14ac:dyDescent="0.3">
      <c r="A1" s="519" t="s">
        <v>202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1"/>
      <c r="O1" s="522" t="s">
        <v>38</v>
      </c>
      <c r="P1" s="523"/>
      <c r="Q1" s="523"/>
      <c r="R1" s="523"/>
      <c r="S1" s="523"/>
      <c r="T1" s="523"/>
      <c r="U1" s="522" t="s">
        <v>39</v>
      </c>
      <c r="V1" s="523"/>
      <c r="W1" s="523"/>
      <c r="X1" s="523"/>
      <c r="Y1" s="523"/>
      <c r="Z1" s="524"/>
      <c r="AA1" s="525" t="s">
        <v>133</v>
      </c>
      <c r="AB1" s="526"/>
      <c r="AC1" s="526"/>
      <c r="AD1" s="526"/>
      <c r="AE1" s="526"/>
      <c r="AF1" s="526"/>
    </row>
    <row r="2" spans="1:57" s="265" customFormat="1" ht="50.4" x14ac:dyDescent="0.25">
      <c r="A2" s="256" t="s">
        <v>22</v>
      </c>
      <c r="B2" s="257" t="s">
        <v>26</v>
      </c>
      <c r="C2" s="258" t="s">
        <v>23</v>
      </c>
      <c r="D2" s="257" t="s">
        <v>24</v>
      </c>
      <c r="E2" s="257" t="s">
        <v>25</v>
      </c>
      <c r="F2" s="259" t="s">
        <v>27</v>
      </c>
      <c r="G2" s="257" t="s">
        <v>28</v>
      </c>
      <c r="H2" s="257" t="s">
        <v>29</v>
      </c>
      <c r="I2" s="260" t="s">
        <v>30</v>
      </c>
      <c r="J2" s="261" t="s">
        <v>31</v>
      </c>
      <c r="K2" s="257" t="s">
        <v>32</v>
      </c>
      <c r="L2" s="257" t="s">
        <v>33</v>
      </c>
      <c r="M2" s="257"/>
      <c r="N2" s="262" t="s">
        <v>34</v>
      </c>
      <c r="O2" s="263" t="s">
        <v>189</v>
      </c>
      <c r="P2" s="263" t="s">
        <v>2</v>
      </c>
      <c r="Q2" s="263" t="s">
        <v>3</v>
      </c>
      <c r="R2" s="263" t="s">
        <v>4</v>
      </c>
      <c r="S2" s="263" t="s">
        <v>5</v>
      </c>
      <c r="T2" s="263" t="s">
        <v>6</v>
      </c>
      <c r="U2" s="263" t="s">
        <v>188</v>
      </c>
      <c r="V2" s="263" t="s">
        <v>8</v>
      </c>
      <c r="W2" s="263" t="s">
        <v>9</v>
      </c>
      <c r="X2" s="263" t="s">
        <v>10</v>
      </c>
      <c r="Y2" s="263" t="s">
        <v>11</v>
      </c>
      <c r="Z2" s="264" t="s">
        <v>12</v>
      </c>
      <c r="AA2" s="274" t="s">
        <v>182</v>
      </c>
      <c r="AB2" s="275" t="s">
        <v>183</v>
      </c>
      <c r="AC2" s="275" t="s">
        <v>184</v>
      </c>
      <c r="AD2" s="275" t="s">
        <v>185</v>
      </c>
      <c r="AE2" s="275" t="s">
        <v>186</v>
      </c>
      <c r="AF2" s="276" t="s">
        <v>187</v>
      </c>
    </row>
    <row r="3" spans="1:57" s="265" customFormat="1" ht="13.2" thickBot="1" x14ac:dyDescent="0.3">
      <c r="A3" s="266">
        <f>'Pump coeff'!M4</f>
        <v>54.3</v>
      </c>
      <c r="B3" s="267">
        <f>'Pump coeff'!N4</f>
        <v>2.8245</v>
      </c>
      <c r="C3" s="268">
        <f>'Pump coeff'!O4</f>
        <v>500</v>
      </c>
      <c r="D3" s="267">
        <f>'Pump coeff'!P4</f>
        <v>52.245569806781255</v>
      </c>
      <c r="E3" s="267">
        <f>'Pump coeff'!Q4</f>
        <v>2.7212485692937505</v>
      </c>
      <c r="F3" s="268">
        <f>'Pump coeff'!R4</f>
        <v>7600</v>
      </c>
      <c r="G3" s="267">
        <f>'Pump coeff'!S4</f>
        <v>26.279702160517104</v>
      </c>
      <c r="H3" s="267">
        <f>'Pump coeff'!T4</f>
        <v>2.3771875742807049</v>
      </c>
      <c r="I3" s="269">
        <f>'Pump coeff'!U4</f>
        <v>61.881178052058523</v>
      </c>
      <c r="J3" s="268">
        <f>'Pump coeff'!V4</f>
        <v>11000</v>
      </c>
      <c r="K3" s="267">
        <f>'Pump coeff'!W4</f>
        <v>10.878983427000009</v>
      </c>
      <c r="L3" s="267">
        <f>'Pump coeff'!X4</f>
        <v>2.0764822614000007</v>
      </c>
      <c r="M3" s="270"/>
      <c r="N3" s="271">
        <f>'Pump coeff'!Z4</f>
        <v>12000</v>
      </c>
      <c r="O3" s="272">
        <f>'Pump coeff'!AA4</f>
        <v>54.3</v>
      </c>
      <c r="P3" s="272">
        <f>'Pump coeff'!AB4</f>
        <v>-4.5550820000000002E-3</v>
      </c>
      <c r="Q3" s="272">
        <f>'Pump coeff'!AC4</f>
        <v>1.031675E-6</v>
      </c>
      <c r="R3" s="272">
        <f>'Pump coeff'!AD4</f>
        <v>-2.9421260000000001E-10</v>
      </c>
      <c r="S3" s="272">
        <f>'Pump coeff'!AE4</f>
        <v>3.210864E-14</v>
      </c>
      <c r="T3" s="272">
        <f>'Pump coeff'!AF4</f>
        <v>-1.221063E-18</v>
      </c>
      <c r="U3" s="272">
        <f>'Pump coeff'!AG4</f>
        <v>2.8245</v>
      </c>
      <c r="V3" s="272">
        <f>'Pump coeff'!AH4</f>
        <v>-2.561385E-4</v>
      </c>
      <c r="W3" s="272">
        <f>'Pump coeff'!AI4</f>
        <v>1.1078640000000001E-7</v>
      </c>
      <c r="X3" s="272">
        <f>'Pump coeff'!AJ4</f>
        <v>-2.4189500000000001E-11</v>
      </c>
      <c r="Y3" s="272">
        <f>'Pump coeff'!AK4</f>
        <v>2.3610659999999999E-15</v>
      </c>
      <c r="Z3" s="273">
        <f>'Pump coeff'!AL4</f>
        <v>-8.51146E-20</v>
      </c>
      <c r="AA3" s="294"/>
      <c r="AB3" s="294"/>
      <c r="AC3" s="294"/>
      <c r="AD3" s="294"/>
      <c r="AE3" s="294"/>
      <c r="AF3" s="294"/>
    </row>
    <row r="4" spans="1:57" s="265" customFormat="1" ht="13.2" thickBot="1" x14ac:dyDescent="0.3">
      <c r="A4" s="527" t="s">
        <v>181</v>
      </c>
      <c r="B4" s="528"/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277">
        <v>55.159590000000001</v>
      </c>
      <c r="P4" s="277">
        <v>2.8504939999999999E-3</v>
      </c>
      <c r="Q4" s="277">
        <v>-4.5945139999999998E-6</v>
      </c>
      <c r="R4" s="277">
        <v>9.4705750000000007E-10</v>
      </c>
      <c r="S4" s="277">
        <v>-7.7101360000000002E-14</v>
      </c>
      <c r="T4" s="277">
        <v>2.017562E-18</v>
      </c>
      <c r="U4" s="277">
        <v>2.8273730000000001</v>
      </c>
      <c r="V4" s="277">
        <v>1.4095939999999999E-4</v>
      </c>
      <c r="W4" s="277">
        <v>-4.3633410000000003E-8</v>
      </c>
      <c r="X4" s="277">
        <v>-3.3305100000000001E-12</v>
      </c>
      <c r="Y4" s="277">
        <v>1.599288E-15</v>
      </c>
      <c r="Z4" s="278">
        <v>-9.9028209999999997E-20</v>
      </c>
      <c r="AA4" s="427">
        <v>3.72368E-2</v>
      </c>
      <c r="AB4" s="428">
        <v>1.5878030000000001E-2</v>
      </c>
      <c r="AC4" s="428">
        <v>-1.9602540000000001E-6</v>
      </c>
      <c r="AD4" s="428">
        <v>4.1427299999999998E-11</v>
      </c>
      <c r="AE4" s="428">
        <v>2.1266079999999999E-14</v>
      </c>
      <c r="AF4" s="429">
        <v>-2.1092409999999999E-18</v>
      </c>
    </row>
    <row r="5" spans="1:57" ht="13.2" thickBot="1" x14ac:dyDescent="0.3">
      <c r="A5" s="529" t="s">
        <v>76</v>
      </c>
      <c r="B5" s="530"/>
      <c r="C5" s="531"/>
      <c r="D5" s="529" t="s">
        <v>84</v>
      </c>
      <c r="E5" s="530"/>
      <c r="F5" s="532"/>
      <c r="G5" s="532"/>
      <c r="H5" s="532"/>
      <c r="I5" s="533"/>
      <c r="J5" s="279"/>
      <c r="K5" s="279"/>
      <c r="L5" s="279"/>
      <c r="M5" s="279"/>
      <c r="N5" s="279"/>
      <c r="AA5" s="534" t="s">
        <v>199</v>
      </c>
      <c r="AB5" s="535"/>
      <c r="AC5" s="535"/>
      <c r="AD5" s="536"/>
    </row>
    <row r="6" spans="1:57" ht="38.25" customHeight="1" thickBot="1" x14ac:dyDescent="0.3">
      <c r="A6" s="281"/>
      <c r="B6" s="282"/>
      <c r="C6" s="283"/>
      <c r="D6" s="505" t="s">
        <v>85</v>
      </c>
      <c r="E6" s="506"/>
      <c r="F6" s="505" t="s">
        <v>86</v>
      </c>
      <c r="G6" s="506"/>
      <c r="H6" s="284"/>
      <c r="I6" s="285"/>
      <c r="J6" s="279"/>
      <c r="K6" s="279"/>
      <c r="L6" s="279"/>
      <c r="M6" s="279"/>
      <c r="N6" s="279"/>
      <c r="AA6" s="286"/>
      <c r="AB6" s="287"/>
      <c r="AC6" s="288"/>
      <c r="AD6" s="289"/>
    </row>
    <row r="7" spans="1:57" x14ac:dyDescent="0.25">
      <c r="A7" s="274" t="s">
        <v>70</v>
      </c>
      <c r="B7" s="275" t="s">
        <v>72</v>
      </c>
      <c r="C7" s="276" t="s">
        <v>74</v>
      </c>
      <c r="D7" s="274" t="s">
        <v>78</v>
      </c>
      <c r="E7" s="275" t="s">
        <v>81</v>
      </c>
      <c r="F7" s="275" t="s">
        <v>80</v>
      </c>
      <c r="G7" s="275" t="s">
        <v>79</v>
      </c>
      <c r="H7" s="275" t="s">
        <v>82</v>
      </c>
      <c r="I7" s="276" t="s">
        <v>83</v>
      </c>
      <c r="J7" s="290"/>
      <c r="K7" s="290"/>
      <c r="L7" s="290"/>
      <c r="M7" s="290"/>
      <c r="N7" s="290"/>
      <c r="AA7" s="274" t="s">
        <v>70</v>
      </c>
      <c r="AB7" s="275" t="s">
        <v>72</v>
      </c>
      <c r="AC7" s="291" t="s">
        <v>74</v>
      </c>
      <c r="AD7" s="292" t="s">
        <v>135</v>
      </c>
    </row>
    <row r="8" spans="1:57" ht="13.2" thickBot="1" x14ac:dyDescent="0.3">
      <c r="A8" s="293" t="s">
        <v>71</v>
      </c>
      <c r="B8" s="294" t="s">
        <v>73</v>
      </c>
      <c r="C8" s="295" t="s">
        <v>75</v>
      </c>
      <c r="D8" s="293" t="s">
        <v>71</v>
      </c>
      <c r="E8" s="294" t="s">
        <v>73</v>
      </c>
      <c r="F8" s="294" t="s">
        <v>71</v>
      </c>
      <c r="G8" s="294" t="s">
        <v>73</v>
      </c>
      <c r="H8" s="294" t="s">
        <v>75</v>
      </c>
      <c r="I8" s="295" t="s">
        <v>75</v>
      </c>
      <c r="J8" s="518" t="s">
        <v>98</v>
      </c>
      <c r="K8" s="489"/>
      <c r="L8" s="489"/>
      <c r="M8" s="489"/>
      <c r="N8" s="290"/>
      <c r="AA8" s="293" t="s">
        <v>71</v>
      </c>
      <c r="AB8" s="294" t="s">
        <v>73</v>
      </c>
      <c r="AC8" s="296" t="s">
        <v>75</v>
      </c>
      <c r="AD8" s="297" t="s">
        <v>92</v>
      </c>
    </row>
    <row r="9" spans="1:57" x14ac:dyDescent="0.25">
      <c r="A9" s="298">
        <v>0</v>
      </c>
      <c r="B9" s="299">
        <f>O3</f>
        <v>54.3</v>
      </c>
      <c r="C9" s="300">
        <f>U3</f>
        <v>2.8245</v>
      </c>
      <c r="D9" s="298"/>
      <c r="E9" s="299"/>
      <c r="F9" s="301"/>
      <c r="G9" s="299"/>
      <c r="H9" s="301"/>
      <c r="I9" s="302"/>
      <c r="J9" s="303">
        <f>A11</f>
        <v>500</v>
      </c>
      <c r="K9" s="255">
        <v>0</v>
      </c>
      <c r="L9" s="255">
        <v>0</v>
      </c>
      <c r="M9" s="255">
        <v>0</v>
      </c>
      <c r="AA9" s="304">
        <f>A9</f>
        <v>0</v>
      </c>
      <c r="AB9" s="305">
        <f>O4</f>
        <v>55.159590000000001</v>
      </c>
      <c r="AC9" s="306">
        <f>U4</f>
        <v>2.8273730000000001</v>
      </c>
      <c r="AD9" s="424">
        <f>AA4</f>
        <v>3.72368E-2</v>
      </c>
    </row>
    <row r="10" spans="1:57" x14ac:dyDescent="0.25">
      <c r="A10" s="307">
        <f>(A9+A11)/2</f>
        <v>250</v>
      </c>
      <c r="B10" s="308">
        <f t="shared" ref="B10:B21" si="0">$O$3+$P$3*A10+$Q$3*A10^2+$R$3*A10^3+$S$3*A10^4+$T$3*A10^5</f>
        <v>53.22123634755566</v>
      </c>
      <c r="C10" s="309">
        <f t="shared" ref="C10:C21" si="1">$U$3+$V$3*A10+$W$3*A10^2+$X$3*A10^3+$Y$3*A10^4+$Z$3*A10^5</f>
        <v>2.767020703856836</v>
      </c>
      <c r="D10" s="307"/>
      <c r="E10" s="308"/>
      <c r="F10" s="310"/>
      <c r="G10" s="308"/>
      <c r="H10" s="310"/>
      <c r="I10" s="311"/>
      <c r="J10" s="303">
        <f>A11</f>
        <v>500</v>
      </c>
      <c r="K10" s="255">
        <v>60</v>
      </c>
      <c r="L10" s="255">
        <v>3.5</v>
      </c>
      <c r="M10" s="255">
        <v>70</v>
      </c>
      <c r="AA10" s="307">
        <f t="shared" ref="AA10:AA21" si="2">A10</f>
        <v>250</v>
      </c>
      <c r="AB10" s="308">
        <f>$O$4+$P$4*A10+$Q$4*A10^2+$R$4*A10^3+$S$4*A10^4+$T$4*A10^5</f>
        <v>55.59955494152539</v>
      </c>
      <c r="AC10" s="312">
        <f>$U$4+$V$4*AA10+$W$4*AA10^2+$X$4*AA10^3+$Y$4*AA10^4+$Z$4*AA10^5</f>
        <v>2.8598398731677634</v>
      </c>
      <c r="AD10" s="425">
        <f>$AA$4+$AB$4*AA10+$AC$4*AA10^2+$AD$4*AA10^3+$AE$4*AA10^4+$AF$4*AA10^5</f>
        <v>3.8849567373818363</v>
      </c>
    </row>
    <row r="11" spans="1:57" s="319" customFormat="1" x14ac:dyDescent="0.25">
      <c r="A11" s="313">
        <f>$C$3</f>
        <v>500</v>
      </c>
      <c r="B11" s="314">
        <f t="shared" si="0"/>
        <v>52.245569806781255</v>
      </c>
      <c r="C11" s="315">
        <f t="shared" si="1"/>
        <v>2.7212485692937505</v>
      </c>
      <c r="D11" s="316">
        <f t="shared" ref="D11:D19" si="3">0.95*A11</f>
        <v>475</v>
      </c>
      <c r="E11" s="314">
        <f t="shared" ref="E11:E19" si="4">($O$3+$P$3*D11+$Q$3*D11^2+$R$3*D11^3+$S$3*D11^4+$T$3*D11^5)*1.05</f>
        <v>54.956140493918511</v>
      </c>
      <c r="F11" s="317">
        <f t="shared" ref="F11:F19" si="5">1.05*A11</f>
        <v>525</v>
      </c>
      <c r="G11" s="314">
        <f t="shared" ref="G11:G19" si="6">($O$3+$P$3*F11+$Q$3*F11^2+$R$3*F11^3+$S$3*F11^4+$T$3*F11^5)*0.95</f>
        <v>49.545116731677162</v>
      </c>
      <c r="H11" s="314">
        <f t="shared" ref="H11:H19" si="7">C11*0.92</f>
        <v>2.5035486837502505</v>
      </c>
      <c r="I11" s="315">
        <f t="shared" ref="I11:I19" si="8">1.08*C11</f>
        <v>2.9389484548372509</v>
      </c>
      <c r="J11" s="491" t="s">
        <v>96</v>
      </c>
      <c r="K11" s="489"/>
      <c r="L11" s="489"/>
      <c r="M11" s="489"/>
      <c r="N11" s="318"/>
      <c r="Q11" s="320"/>
      <c r="R11" s="320"/>
      <c r="S11" s="320"/>
      <c r="T11" s="320"/>
      <c r="AA11" s="307">
        <f t="shared" si="2"/>
        <v>500</v>
      </c>
      <c r="AB11" s="308">
        <f t="shared" ref="AB11:AB21" si="9">$O$4+$P$4*A11+$Q$4*A11^2+$R$4*A11^3+$S$4*A11^4+$T$4*A11^5</f>
        <v>55.549834901312501</v>
      </c>
      <c r="AC11" s="312">
        <f t="shared" ref="AC11:AC21" si="10">$U$4+$V$4*AA11+$W$4*AA11^2+$X$4*AA11^3+$Y$4*AA11^4+$Z$4*AA11^5</f>
        <v>2.8866248946184374</v>
      </c>
      <c r="AD11" s="425">
        <f t="shared" ref="AD11:AD21" si="11">$AA$4+$AB$4*AA11+$AC$4*AA11^2+$AD$4*AA11^3+$AE$4*AA11^4+$AF$4*AA11^5</f>
        <v>7.4926299287187508</v>
      </c>
      <c r="AE11" s="318"/>
      <c r="AF11" s="318"/>
      <c r="AG11" s="318"/>
      <c r="AH11" s="318"/>
      <c r="AI11" s="318"/>
      <c r="AJ11" s="318"/>
      <c r="AK11" s="318"/>
      <c r="AL11" s="318"/>
      <c r="AM11" s="318"/>
      <c r="AN11" s="318"/>
      <c r="AO11" s="318"/>
      <c r="AP11" s="318"/>
      <c r="AQ11" s="318"/>
      <c r="AR11" s="318"/>
      <c r="AS11" s="318"/>
      <c r="AT11" s="318"/>
      <c r="AU11" s="318"/>
      <c r="AV11" s="318"/>
      <c r="AW11" s="318"/>
      <c r="AX11" s="318"/>
      <c r="AY11" s="318"/>
      <c r="AZ11" s="318"/>
      <c r="BA11" s="318"/>
      <c r="BB11" s="318"/>
      <c r="BC11" s="318"/>
      <c r="BD11" s="318"/>
      <c r="BE11" s="318"/>
    </row>
    <row r="12" spans="1:57" x14ac:dyDescent="0.25">
      <c r="A12" s="307">
        <f>(A11+A13)/2</f>
        <v>2275</v>
      </c>
      <c r="B12" s="308">
        <f t="shared" si="0"/>
        <v>46.598216124680064</v>
      </c>
      <c r="C12" s="309">
        <f t="shared" si="1"/>
        <v>2.5884125314547242</v>
      </c>
      <c r="D12" s="307">
        <f t="shared" si="3"/>
        <v>2161.25</v>
      </c>
      <c r="E12" s="308">
        <f t="shared" si="4"/>
        <v>49.294480775551101</v>
      </c>
      <c r="F12" s="310">
        <f t="shared" si="5"/>
        <v>2388.75</v>
      </c>
      <c r="G12" s="308">
        <f t="shared" si="6"/>
        <v>43.933824081786462</v>
      </c>
      <c r="H12" s="308">
        <f t="shared" si="7"/>
        <v>2.3813395289383466</v>
      </c>
      <c r="I12" s="309">
        <f t="shared" si="8"/>
        <v>2.7954855339711022</v>
      </c>
      <c r="J12" s="321">
        <f>A15</f>
        <v>7600</v>
      </c>
      <c r="K12" s="318">
        <v>0</v>
      </c>
      <c r="L12" s="318">
        <v>0</v>
      </c>
      <c r="M12" s="318">
        <v>0</v>
      </c>
      <c r="N12" s="318"/>
      <c r="AA12" s="307">
        <f t="shared" si="2"/>
        <v>2275</v>
      </c>
      <c r="AB12" s="308">
        <f t="shared" si="9"/>
        <v>47.073785384975046</v>
      </c>
      <c r="AC12" s="312">
        <f t="shared" si="10"/>
        <v>2.9198156570568128</v>
      </c>
      <c r="AD12" s="425">
        <f t="shared" si="11"/>
        <v>26.943121119263353</v>
      </c>
      <c r="AE12" s="318"/>
      <c r="AF12" s="318"/>
      <c r="AG12" s="318"/>
      <c r="AH12" s="318"/>
      <c r="AI12" s="318"/>
      <c r="AJ12" s="318"/>
      <c r="AK12" s="318"/>
      <c r="AL12" s="318"/>
      <c r="AM12" s="318"/>
      <c r="AN12" s="318"/>
      <c r="AO12" s="318"/>
      <c r="AP12" s="318"/>
      <c r="AQ12" s="318"/>
      <c r="AR12" s="318"/>
      <c r="AS12" s="318"/>
      <c r="AT12" s="318"/>
      <c r="AU12" s="318"/>
      <c r="AV12" s="318"/>
      <c r="AW12" s="318"/>
      <c r="AX12" s="318"/>
      <c r="AY12" s="318"/>
      <c r="AZ12" s="318"/>
      <c r="BA12" s="318"/>
      <c r="BB12" s="318"/>
      <c r="BC12" s="318"/>
      <c r="BD12" s="318"/>
      <c r="BE12" s="318"/>
    </row>
    <row r="13" spans="1:57" x14ac:dyDescent="0.25">
      <c r="A13" s="307">
        <f>(A11+A15)/2</f>
        <v>4050</v>
      </c>
      <c r="B13" s="308">
        <f t="shared" si="0"/>
        <v>40.537465397409534</v>
      </c>
      <c r="C13" s="309">
        <f t="shared" si="1"/>
        <v>2.5398848447232392</v>
      </c>
      <c r="D13" s="307">
        <f t="shared" si="3"/>
        <v>3847.5</v>
      </c>
      <c r="E13" s="308">
        <f t="shared" si="4"/>
        <v>43.360902274433364</v>
      </c>
      <c r="F13" s="310">
        <f t="shared" si="5"/>
        <v>4252.5</v>
      </c>
      <c r="G13" s="308">
        <f t="shared" si="6"/>
        <v>37.774785601973889</v>
      </c>
      <c r="H13" s="308">
        <f t="shared" si="7"/>
        <v>2.33669405714538</v>
      </c>
      <c r="I13" s="309">
        <f t="shared" si="8"/>
        <v>2.7430756323010983</v>
      </c>
      <c r="J13" s="321">
        <f>A15</f>
        <v>7600</v>
      </c>
      <c r="K13" s="318">
        <v>60</v>
      </c>
      <c r="L13" s="318">
        <v>3.5</v>
      </c>
      <c r="M13" s="318">
        <v>70</v>
      </c>
      <c r="N13" s="318"/>
      <c r="AA13" s="307">
        <f t="shared" si="2"/>
        <v>4050</v>
      </c>
      <c r="AB13" s="308">
        <f t="shared" si="9"/>
        <v>35.710594502449737</v>
      </c>
      <c r="AC13" s="312">
        <f t="shared" si="10"/>
        <v>2.7836878883631275</v>
      </c>
      <c r="AD13" s="425">
        <f t="shared" si="11"/>
        <v>38.365410167951239</v>
      </c>
      <c r="AE13" s="318"/>
      <c r="AF13" s="318"/>
      <c r="AG13" s="318"/>
      <c r="AH13" s="318"/>
      <c r="AI13" s="318"/>
      <c r="AJ13" s="318"/>
      <c r="AK13" s="318"/>
      <c r="AL13" s="318"/>
      <c r="AM13" s="318"/>
      <c r="AN13" s="318"/>
      <c r="AO13" s="318"/>
      <c r="AP13" s="318"/>
      <c r="AQ13" s="318"/>
      <c r="AR13" s="318"/>
      <c r="AS13" s="318"/>
      <c r="AT13" s="318"/>
      <c r="AU13" s="318"/>
      <c r="AV13" s="318"/>
      <c r="AW13" s="318"/>
      <c r="AX13" s="318"/>
      <c r="AY13" s="318"/>
      <c r="AZ13" s="318"/>
      <c r="BA13" s="318"/>
      <c r="BB13" s="318"/>
      <c r="BC13" s="318"/>
      <c r="BD13" s="318"/>
      <c r="BE13" s="318"/>
    </row>
    <row r="14" spans="1:57" x14ac:dyDescent="0.25">
      <c r="A14" s="307">
        <f>(A13+A15)/2</f>
        <v>5825</v>
      </c>
      <c r="B14" s="308">
        <f t="shared" si="0"/>
        <v>33.399631371634094</v>
      </c>
      <c r="C14" s="309">
        <f t="shared" si="1"/>
        <v>2.4580554235397249</v>
      </c>
      <c r="D14" s="307">
        <f t="shared" si="3"/>
        <v>5533.75</v>
      </c>
      <c r="E14" s="308">
        <f t="shared" si="4"/>
        <v>36.332462867010086</v>
      </c>
      <c r="F14" s="310">
        <f t="shared" si="5"/>
        <v>6116.25</v>
      </c>
      <c r="G14" s="308">
        <f t="shared" si="6"/>
        <v>30.589236341325019</v>
      </c>
      <c r="H14" s="308">
        <f t="shared" si="7"/>
        <v>2.2614109896565471</v>
      </c>
      <c r="I14" s="309">
        <f t="shared" si="8"/>
        <v>2.6546998574229033</v>
      </c>
      <c r="J14" s="491" t="s">
        <v>99</v>
      </c>
      <c r="K14" s="489"/>
      <c r="L14" s="489"/>
      <c r="M14" s="489"/>
      <c r="N14" s="318"/>
      <c r="AA14" s="307">
        <f t="shared" si="2"/>
        <v>5825</v>
      </c>
      <c r="AB14" s="308">
        <f t="shared" si="9"/>
        <v>27.815463777769857</v>
      </c>
      <c r="AC14" s="312">
        <f t="shared" si="10"/>
        <v>2.6868232072573641</v>
      </c>
      <c r="AD14" s="425">
        <f t="shared" si="11"/>
        <v>44.540327376631247</v>
      </c>
      <c r="AE14" s="318"/>
      <c r="AF14" s="318"/>
      <c r="AG14" s="318"/>
      <c r="AH14" s="318"/>
      <c r="AI14" s="318"/>
      <c r="AJ14" s="318"/>
      <c r="AK14" s="318"/>
      <c r="AL14" s="318"/>
      <c r="AM14" s="318"/>
      <c r="AN14" s="318"/>
      <c r="AO14" s="318"/>
      <c r="AP14" s="318"/>
      <c r="AQ14" s="318"/>
      <c r="AR14" s="318"/>
      <c r="AS14" s="318"/>
      <c r="AT14" s="318"/>
      <c r="AU14" s="318"/>
      <c r="AV14" s="318"/>
      <c r="AW14" s="318"/>
      <c r="AX14" s="318"/>
      <c r="AY14" s="318"/>
      <c r="AZ14" s="318"/>
      <c r="BA14" s="318"/>
      <c r="BB14" s="318"/>
      <c r="BC14" s="318"/>
      <c r="BD14" s="318"/>
      <c r="BE14" s="318"/>
    </row>
    <row r="15" spans="1:57" s="319" customFormat="1" x14ac:dyDescent="0.25">
      <c r="A15" s="313">
        <f>$F$3</f>
        <v>7600</v>
      </c>
      <c r="B15" s="314">
        <f t="shared" si="0"/>
        <v>26.279702160517104</v>
      </c>
      <c r="C15" s="315">
        <f t="shared" si="1"/>
        <v>2.3771875742807049</v>
      </c>
      <c r="D15" s="316">
        <f t="shared" si="3"/>
        <v>7220</v>
      </c>
      <c r="E15" s="314">
        <f t="shared" si="4"/>
        <v>29.142190385995498</v>
      </c>
      <c r="F15" s="317">
        <f t="shared" si="5"/>
        <v>7980</v>
      </c>
      <c r="G15" s="314">
        <f t="shared" si="6"/>
        <v>23.589097694949103</v>
      </c>
      <c r="H15" s="314">
        <f t="shared" si="7"/>
        <v>2.1870125683382486</v>
      </c>
      <c r="I15" s="315">
        <f t="shared" si="8"/>
        <v>2.5673625802231617</v>
      </c>
      <c r="J15" s="321">
        <f>A19</f>
        <v>11000</v>
      </c>
      <c r="K15" s="318">
        <v>0</v>
      </c>
      <c r="L15" s="318">
        <v>0</v>
      </c>
      <c r="M15" s="318">
        <v>0</v>
      </c>
      <c r="N15" s="318"/>
      <c r="Q15" s="320"/>
      <c r="R15" s="320"/>
      <c r="S15" s="320"/>
      <c r="T15" s="320"/>
      <c r="AA15" s="307">
        <f t="shared" si="2"/>
        <v>7600</v>
      </c>
      <c r="AB15" s="308">
        <f t="shared" si="9"/>
        <v>21.108611150597142</v>
      </c>
      <c r="AC15" s="312">
        <f t="shared" si="10"/>
        <v>2.7410720997602307</v>
      </c>
      <c r="AD15" s="425">
        <f t="shared" si="11"/>
        <v>43.13951378781185</v>
      </c>
      <c r="AE15" s="318"/>
      <c r="AF15" s="318"/>
      <c r="AG15" s="318"/>
      <c r="AH15" s="318"/>
      <c r="AI15" s="318"/>
      <c r="AJ15" s="318"/>
      <c r="AK15" s="318"/>
      <c r="AL15" s="318"/>
      <c r="AM15" s="318"/>
      <c r="AN15" s="318"/>
      <c r="AO15" s="318"/>
      <c r="AP15" s="318"/>
      <c r="AQ15" s="318"/>
      <c r="AR15" s="318"/>
      <c r="AS15" s="318"/>
      <c r="AT15" s="318"/>
      <c r="AU15" s="318"/>
      <c r="AV15" s="318"/>
      <c r="AW15" s="318"/>
      <c r="AX15" s="318"/>
      <c r="AY15" s="318"/>
      <c r="AZ15" s="318"/>
      <c r="BA15" s="318"/>
      <c r="BB15" s="318"/>
      <c r="BC15" s="318"/>
      <c r="BD15" s="318"/>
      <c r="BE15" s="318"/>
    </row>
    <row r="16" spans="1:57" x14ac:dyDescent="0.25">
      <c r="A16" s="307">
        <f>(A15+A17)/2</f>
        <v>8450</v>
      </c>
      <c r="B16" s="308">
        <f t="shared" si="0"/>
        <v>23.055908562691634</v>
      </c>
      <c r="C16" s="309">
        <f t="shared" si="1"/>
        <v>2.3464532565127567</v>
      </c>
      <c r="D16" s="307">
        <f t="shared" si="3"/>
        <v>8027.5</v>
      </c>
      <c r="E16" s="308">
        <f t="shared" si="4"/>
        <v>25.883351678633328</v>
      </c>
      <c r="F16" s="310">
        <f t="shared" si="5"/>
        <v>8872.5</v>
      </c>
      <c r="G16" s="308">
        <f t="shared" si="6"/>
        <v>20.373858005058374</v>
      </c>
      <c r="H16" s="308">
        <f t="shared" si="7"/>
        <v>2.1587369959917364</v>
      </c>
      <c r="I16" s="309">
        <f t="shared" si="8"/>
        <v>2.5341695170337775</v>
      </c>
      <c r="J16" s="321">
        <f>A19</f>
        <v>11000</v>
      </c>
      <c r="K16" s="318">
        <v>60</v>
      </c>
      <c r="L16" s="318">
        <v>3.5</v>
      </c>
      <c r="M16" s="318">
        <v>70</v>
      </c>
      <c r="N16" s="318"/>
      <c r="AA16" s="307">
        <f t="shared" si="2"/>
        <v>8450</v>
      </c>
      <c r="AB16" s="308">
        <f t="shared" si="9"/>
        <v>16.425653627887826</v>
      </c>
      <c r="AC16" s="312">
        <f t="shared" si="10"/>
        <v>2.7809432250971549</v>
      </c>
      <c r="AD16" s="425">
        <f t="shared" si="11"/>
        <v>36.788234694086555</v>
      </c>
      <c r="AE16" s="318"/>
      <c r="AF16" s="318"/>
      <c r="AG16" s="318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8"/>
      <c r="AX16" s="318"/>
      <c r="AY16" s="318"/>
      <c r="AZ16" s="318"/>
      <c r="BA16" s="318"/>
      <c r="BB16" s="318"/>
      <c r="BC16" s="318"/>
      <c r="BD16" s="318"/>
      <c r="BE16" s="318"/>
    </row>
    <row r="17" spans="1:57" x14ac:dyDescent="0.25">
      <c r="A17" s="307">
        <f>(A15+A19)/2</f>
        <v>9300</v>
      </c>
      <c r="B17" s="308">
        <f t="shared" si="0"/>
        <v>19.756738027207419</v>
      </c>
      <c r="C17" s="309">
        <f t="shared" si="1"/>
        <v>2.308011977164421</v>
      </c>
      <c r="D17" s="307">
        <f t="shared" si="3"/>
        <v>8835</v>
      </c>
      <c r="E17" s="308">
        <f t="shared" si="4"/>
        <v>22.670211021019703</v>
      </c>
      <c r="F17" s="310">
        <f t="shared" si="5"/>
        <v>9765</v>
      </c>
      <c r="G17" s="308">
        <f t="shared" si="6"/>
        <v>16.886386393688504</v>
      </c>
      <c r="H17" s="308">
        <f t="shared" si="7"/>
        <v>2.1233710189912673</v>
      </c>
      <c r="I17" s="309">
        <f t="shared" si="8"/>
        <v>2.4926529353375746</v>
      </c>
      <c r="J17" s="318"/>
      <c r="K17" s="318"/>
      <c r="L17" s="318"/>
      <c r="M17" s="318"/>
      <c r="N17" s="318"/>
      <c r="AA17" s="307">
        <f t="shared" si="2"/>
        <v>9300</v>
      </c>
      <c r="AB17" s="308">
        <f t="shared" si="9"/>
        <v>9.663166424328665</v>
      </c>
      <c r="AC17" s="312">
        <f t="shared" si="10"/>
        <v>2.7597513937590046</v>
      </c>
      <c r="AD17" s="425">
        <f t="shared" si="11"/>
        <v>23.826781799237864</v>
      </c>
      <c r="AE17" s="318"/>
      <c r="AF17" s="318"/>
      <c r="AG17" s="318"/>
      <c r="AH17" s="318"/>
      <c r="AI17" s="318"/>
      <c r="AJ17" s="318"/>
      <c r="AK17" s="318"/>
      <c r="AL17" s="318"/>
      <c r="AM17" s="318"/>
      <c r="AN17" s="318"/>
      <c r="AO17" s="318"/>
      <c r="AP17" s="318"/>
      <c r="AQ17" s="318"/>
      <c r="AR17" s="318"/>
      <c r="AS17" s="318"/>
      <c r="AT17" s="318"/>
      <c r="AU17" s="318"/>
      <c r="AV17" s="318"/>
      <c r="AW17" s="318"/>
      <c r="AX17" s="318"/>
      <c r="AY17" s="318"/>
      <c r="AZ17" s="318"/>
      <c r="BA17" s="318"/>
      <c r="BB17" s="318"/>
      <c r="BC17" s="318"/>
      <c r="BD17" s="318"/>
      <c r="BE17" s="318"/>
    </row>
    <row r="18" spans="1:57" x14ac:dyDescent="0.25">
      <c r="A18" s="307">
        <f>(A17+A19)/2</f>
        <v>10150</v>
      </c>
      <c r="B18" s="308">
        <f t="shared" si="0"/>
        <v>15.946139712867335</v>
      </c>
      <c r="C18" s="309">
        <f t="shared" si="1"/>
        <v>2.2339832894354554</v>
      </c>
      <c r="D18" s="307">
        <f t="shared" si="3"/>
        <v>9642.5</v>
      </c>
      <c r="E18" s="308">
        <f t="shared" si="4"/>
        <v>19.232937014906632</v>
      </c>
      <c r="F18" s="310">
        <f t="shared" si="5"/>
        <v>10657.5</v>
      </c>
      <c r="G18" s="308">
        <f t="shared" si="6"/>
        <v>12.477690658235751</v>
      </c>
      <c r="H18" s="308">
        <f t="shared" si="7"/>
        <v>2.0552646262806191</v>
      </c>
      <c r="I18" s="309">
        <f t="shared" si="8"/>
        <v>2.4127019525902922</v>
      </c>
      <c r="J18" s="318"/>
      <c r="K18" s="318"/>
      <c r="L18" s="318"/>
      <c r="M18" s="318"/>
      <c r="N18" s="318"/>
      <c r="AA18" s="307">
        <f t="shared" si="2"/>
        <v>10150</v>
      </c>
      <c r="AB18" s="308">
        <f t="shared" si="9"/>
        <v>9.4328034895823976E-2</v>
      </c>
      <c r="AC18" s="312">
        <f t="shared" si="10"/>
        <v>2.5863548884430276</v>
      </c>
      <c r="AD18" s="425">
        <f t="shared" si="11"/>
        <v>1.0538681326821688</v>
      </c>
      <c r="AE18" s="318"/>
      <c r="AF18" s="318"/>
      <c r="AG18" s="318"/>
      <c r="AH18" s="318"/>
      <c r="AI18" s="318"/>
      <c r="AJ18" s="318"/>
      <c r="AK18" s="318"/>
      <c r="AL18" s="318"/>
      <c r="AM18" s="318"/>
      <c r="AN18" s="318"/>
      <c r="AO18" s="318"/>
      <c r="AP18" s="318"/>
      <c r="AQ18" s="318"/>
      <c r="AR18" s="318"/>
      <c r="AS18" s="318"/>
      <c r="AT18" s="318"/>
      <c r="AU18" s="318"/>
      <c r="AV18" s="318"/>
      <c r="AW18" s="318"/>
      <c r="AX18" s="318"/>
      <c r="AY18" s="318"/>
      <c r="AZ18" s="318"/>
      <c r="BA18" s="318"/>
      <c r="BB18" s="318"/>
      <c r="BC18" s="318"/>
      <c r="BD18" s="318"/>
      <c r="BE18" s="318"/>
    </row>
    <row r="19" spans="1:57" s="319" customFormat="1" x14ac:dyDescent="0.25">
      <c r="A19" s="313">
        <f>$J$3</f>
        <v>11000</v>
      </c>
      <c r="B19" s="314">
        <f t="shared" si="0"/>
        <v>10.878983427000009</v>
      </c>
      <c r="C19" s="315">
        <f t="shared" si="1"/>
        <v>2.0764822614000007</v>
      </c>
      <c r="D19" s="316">
        <f t="shared" si="3"/>
        <v>10450</v>
      </c>
      <c r="E19" s="314">
        <f t="shared" si="4"/>
        <v>15.06778191805973</v>
      </c>
      <c r="F19" s="317">
        <f t="shared" si="5"/>
        <v>11550</v>
      </c>
      <c r="G19" s="314">
        <f t="shared" si="6"/>
        <v>6.100804721708883</v>
      </c>
      <c r="H19" s="314">
        <f t="shared" si="7"/>
        <v>1.9103636804880006</v>
      </c>
      <c r="I19" s="315">
        <f t="shared" si="8"/>
        <v>2.242600842312001</v>
      </c>
      <c r="J19" s="318"/>
      <c r="K19" s="318"/>
      <c r="L19" s="318"/>
      <c r="M19" s="318"/>
      <c r="N19" s="318"/>
      <c r="Q19" s="320"/>
      <c r="R19" s="320"/>
      <c r="S19" s="320"/>
      <c r="T19" s="320"/>
      <c r="AA19" s="307">
        <f t="shared" si="2"/>
        <v>11000</v>
      </c>
      <c r="AB19" s="308">
        <f t="shared" si="9"/>
        <v>-12.798271598000099</v>
      </c>
      <c r="AC19" s="312">
        <f t="shared" si="10"/>
        <v>2.1319583392899979</v>
      </c>
      <c r="AD19" s="425">
        <f t="shared" si="11"/>
        <v>-35.694125911000071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8"/>
      <c r="AV19" s="318"/>
      <c r="AW19" s="318"/>
      <c r="AX19" s="318"/>
      <c r="AY19" s="318"/>
      <c r="AZ19" s="318"/>
      <c r="BA19" s="318"/>
      <c r="BB19" s="318"/>
      <c r="BC19" s="318"/>
      <c r="BD19" s="318"/>
      <c r="BE19" s="318"/>
    </row>
    <row r="20" spans="1:57" x14ac:dyDescent="0.25">
      <c r="A20" s="307">
        <f>(A19+A21)/2</f>
        <v>11500</v>
      </c>
      <c r="B20" s="308">
        <f t="shared" si="0"/>
        <v>6.8777239709687876</v>
      </c>
      <c r="C20" s="309">
        <f t="shared" si="1"/>
        <v>1.9168084970062509</v>
      </c>
      <c r="D20" s="307"/>
      <c r="E20" s="308"/>
      <c r="F20" s="310"/>
      <c r="G20" s="308"/>
      <c r="H20" s="310"/>
      <c r="I20" s="311"/>
      <c r="AA20" s="307">
        <f t="shared" si="2"/>
        <v>11500</v>
      </c>
      <c r="AB20" s="308">
        <f t="shared" si="9"/>
        <v>-22.031952429812463</v>
      </c>
      <c r="AC20" s="312">
        <f t="shared" si="10"/>
        <v>1.6661351118740626</v>
      </c>
      <c r="AD20" s="425">
        <f t="shared" si="11"/>
        <v>-65.901901034468779</v>
      </c>
    </row>
    <row r="21" spans="1:57" ht="13.2" thickBot="1" x14ac:dyDescent="0.3">
      <c r="A21" s="322">
        <f>$N$3</f>
        <v>12000</v>
      </c>
      <c r="B21" s="323">
        <f t="shared" si="0"/>
        <v>1.7660538239999255</v>
      </c>
      <c r="C21" s="324">
        <f t="shared" si="1"/>
        <v>1.6844520287999956</v>
      </c>
      <c r="D21" s="322"/>
      <c r="E21" s="323"/>
      <c r="F21" s="325"/>
      <c r="G21" s="323"/>
      <c r="H21" s="325"/>
      <c r="I21" s="326"/>
      <c r="AA21" s="322">
        <f t="shared" si="2"/>
        <v>12000</v>
      </c>
      <c r="AB21" s="323">
        <f t="shared" si="9"/>
        <v>-32.46895137599995</v>
      </c>
      <c r="AC21" s="327">
        <f t="shared" si="10"/>
        <v>1.002001897279996</v>
      </c>
      <c r="AD21" s="426">
        <f t="shared" si="11"/>
        <v>-103.98982643200003</v>
      </c>
    </row>
    <row r="49" spans="1:32" ht="13.2" x14ac:dyDescent="0.25">
      <c r="X49" s="507"/>
      <c r="Y49" s="507"/>
    </row>
    <row r="50" spans="1:32" ht="13.2" thickBot="1" x14ac:dyDescent="0.3">
      <c r="X50" s="328"/>
      <c r="Y50" s="329"/>
    </row>
    <row r="51" spans="1:32" ht="13.2" thickBot="1" x14ac:dyDescent="0.3">
      <c r="A51" s="508" t="s">
        <v>164</v>
      </c>
      <c r="B51" s="509"/>
      <c r="C51" s="509"/>
      <c r="D51" s="509"/>
      <c r="E51" s="509"/>
      <c r="F51" s="509"/>
      <c r="G51" s="509"/>
      <c r="H51" s="509"/>
      <c r="I51" s="509"/>
      <c r="J51" s="509"/>
      <c r="K51" s="509"/>
      <c r="L51" s="510"/>
      <c r="M51" s="279"/>
      <c r="X51" s="328"/>
      <c r="Y51" s="329"/>
    </row>
    <row r="52" spans="1:32" x14ac:dyDescent="0.25">
      <c r="A52" s="330" t="s">
        <v>2</v>
      </c>
      <c r="B52" s="331" t="s">
        <v>3</v>
      </c>
      <c r="C52" s="331" t="s">
        <v>4</v>
      </c>
      <c r="D52" s="331" t="s">
        <v>5</v>
      </c>
      <c r="E52" s="331" t="s">
        <v>6</v>
      </c>
      <c r="F52" s="423" t="s">
        <v>7</v>
      </c>
      <c r="G52" s="330" t="s">
        <v>8</v>
      </c>
      <c r="H52" s="331" t="s">
        <v>9</v>
      </c>
      <c r="I52" s="331" t="s">
        <v>10</v>
      </c>
      <c r="J52" s="331" t="s">
        <v>11</v>
      </c>
      <c r="K52" s="331" t="s">
        <v>12</v>
      </c>
      <c r="L52" s="332" t="s">
        <v>13</v>
      </c>
      <c r="M52" s="333"/>
      <c r="X52" s="328"/>
      <c r="Y52" s="329"/>
    </row>
    <row r="53" spans="1:32" ht="15" customHeight="1" x14ac:dyDescent="0.25">
      <c r="A53" s="3">
        <v>52.88711</v>
      </c>
      <c r="B53" s="3">
        <v>-2.750588E-3</v>
      </c>
      <c r="C53" s="3">
        <v>1.8215549999999999E-7</v>
      </c>
      <c r="D53" s="3">
        <v>-1.5559350000000001E-10</v>
      </c>
      <c r="E53" s="3">
        <v>0</v>
      </c>
      <c r="F53" s="3">
        <v>0</v>
      </c>
      <c r="G53" s="3">
        <v>0.76911099999999999</v>
      </c>
      <c r="H53" s="3">
        <v>3.013782E-4</v>
      </c>
      <c r="I53" s="3">
        <v>-3.1664820000000002E-8</v>
      </c>
      <c r="J53" s="3">
        <v>0</v>
      </c>
      <c r="K53" s="3">
        <v>0</v>
      </c>
      <c r="L53" s="3">
        <v>0</v>
      </c>
      <c r="M53" s="334"/>
      <c r="X53" s="328"/>
      <c r="Y53" s="329"/>
    </row>
    <row r="54" spans="1:32" x14ac:dyDescent="0.25">
      <c r="X54" s="335"/>
      <c r="Y54" s="329"/>
    </row>
    <row r="55" spans="1:32" ht="13.2" thickBot="1" x14ac:dyDescent="0.3"/>
    <row r="56" spans="1:32" ht="13.2" thickBot="1" x14ac:dyDescent="0.3">
      <c r="A56" s="511" t="s">
        <v>150</v>
      </c>
      <c r="B56" s="512"/>
      <c r="C56" s="336">
        <v>1</v>
      </c>
      <c r="D56" s="513" t="s">
        <v>149</v>
      </c>
      <c r="E56" s="514"/>
      <c r="F56" s="514"/>
      <c r="G56" s="336">
        <v>76</v>
      </c>
      <c r="H56" s="495" t="s">
        <v>198</v>
      </c>
      <c r="I56" s="500"/>
      <c r="J56" s="500"/>
      <c r="K56" s="497"/>
      <c r="L56" s="497"/>
      <c r="M56" s="497"/>
      <c r="N56" s="497"/>
      <c r="O56" s="497"/>
      <c r="P56" s="498"/>
      <c r="Q56" s="515" t="s">
        <v>76</v>
      </c>
      <c r="R56" s="516"/>
      <c r="S56" s="517"/>
      <c r="T56" s="495" t="s">
        <v>197</v>
      </c>
      <c r="U56" s="500"/>
      <c r="V56" s="500"/>
      <c r="W56" s="499"/>
      <c r="AA56" s="280"/>
      <c r="AB56" s="280"/>
      <c r="AC56" s="280"/>
      <c r="AD56" s="280"/>
    </row>
    <row r="57" spans="1:32" ht="13.2" thickBot="1" x14ac:dyDescent="0.3">
      <c r="A57" s="492" t="s">
        <v>148</v>
      </c>
      <c r="B57" s="493"/>
      <c r="C57" s="493"/>
      <c r="D57" s="493"/>
      <c r="E57" s="493"/>
      <c r="F57" s="493"/>
      <c r="G57" s="494"/>
      <c r="H57" s="495" t="s">
        <v>87</v>
      </c>
      <c r="I57" s="496"/>
      <c r="J57" s="496"/>
      <c r="K57" s="497"/>
      <c r="L57" s="497"/>
      <c r="M57" s="497"/>
      <c r="N57" s="497"/>
      <c r="O57" s="497"/>
      <c r="P57" s="498"/>
      <c r="Q57" s="495" t="s">
        <v>87</v>
      </c>
      <c r="R57" s="496"/>
      <c r="S57" s="499"/>
      <c r="T57" s="495" t="s">
        <v>87</v>
      </c>
      <c r="U57" s="496"/>
      <c r="V57" s="496"/>
      <c r="W57" s="499"/>
      <c r="X57" s="495" t="s">
        <v>77</v>
      </c>
      <c r="Y57" s="500"/>
      <c r="Z57" s="500"/>
      <c r="AA57" s="500"/>
      <c r="AB57" s="501"/>
      <c r="AC57" s="280"/>
      <c r="AD57" s="280"/>
    </row>
    <row r="58" spans="1:32" x14ac:dyDescent="0.25">
      <c r="A58" s="298" t="s">
        <v>139</v>
      </c>
      <c r="B58" s="275" t="s">
        <v>70</v>
      </c>
      <c r="C58" s="275" t="s">
        <v>142</v>
      </c>
      <c r="D58" s="275" t="s">
        <v>144</v>
      </c>
      <c r="E58" s="337" t="s">
        <v>151</v>
      </c>
      <c r="F58" s="337" t="s">
        <v>146</v>
      </c>
      <c r="G58" s="292" t="s">
        <v>147</v>
      </c>
      <c r="H58" s="274" t="s">
        <v>153</v>
      </c>
      <c r="I58" s="337" t="s">
        <v>154</v>
      </c>
      <c r="J58" s="292" t="s">
        <v>155</v>
      </c>
      <c r="K58" s="274" t="s">
        <v>156</v>
      </c>
      <c r="L58" s="337" t="s">
        <v>157</v>
      </c>
      <c r="M58" s="338" t="s">
        <v>158</v>
      </c>
      <c r="N58" s="274" t="s">
        <v>160</v>
      </c>
      <c r="O58" s="337" t="s">
        <v>161</v>
      </c>
      <c r="P58" s="292" t="s">
        <v>162</v>
      </c>
      <c r="Q58" s="274" t="s">
        <v>70</v>
      </c>
      <c r="R58" s="275" t="s">
        <v>72</v>
      </c>
      <c r="S58" s="276" t="s">
        <v>74</v>
      </c>
      <c r="T58" s="274" t="s">
        <v>70</v>
      </c>
      <c r="U58" s="275" t="s">
        <v>72</v>
      </c>
      <c r="V58" s="275" t="s">
        <v>74</v>
      </c>
      <c r="W58" s="276" t="s">
        <v>93</v>
      </c>
      <c r="X58" s="339" t="s">
        <v>81</v>
      </c>
      <c r="Y58" s="340" t="s">
        <v>79</v>
      </c>
      <c r="Z58" s="340" t="s">
        <v>82</v>
      </c>
      <c r="AA58" s="341" t="s">
        <v>83</v>
      </c>
      <c r="AB58" s="342" t="s">
        <v>91</v>
      </c>
      <c r="AC58" s="502" t="s">
        <v>94</v>
      </c>
      <c r="AD58" s="503"/>
      <c r="AE58" s="504"/>
    </row>
    <row r="59" spans="1:32" ht="13.2" thickBot="1" x14ac:dyDescent="0.3">
      <c r="A59" s="293" t="s">
        <v>141</v>
      </c>
      <c r="B59" s="294" t="s">
        <v>140</v>
      </c>
      <c r="C59" s="294" t="s">
        <v>143</v>
      </c>
      <c r="D59" s="294" t="s">
        <v>145</v>
      </c>
      <c r="E59" s="343" t="s">
        <v>89</v>
      </c>
      <c r="F59" s="343" t="s">
        <v>89</v>
      </c>
      <c r="G59" s="326" t="s">
        <v>152</v>
      </c>
      <c r="H59" s="293" t="s">
        <v>71</v>
      </c>
      <c r="I59" s="343" t="s">
        <v>71</v>
      </c>
      <c r="J59" s="326" t="s">
        <v>163</v>
      </c>
      <c r="K59" s="293" t="s">
        <v>73</v>
      </c>
      <c r="L59" s="343" t="s">
        <v>73</v>
      </c>
      <c r="M59" s="344" t="s">
        <v>163</v>
      </c>
      <c r="N59" s="293" t="s">
        <v>159</v>
      </c>
      <c r="O59" s="343" t="s">
        <v>159</v>
      </c>
      <c r="P59" s="326" t="s">
        <v>163</v>
      </c>
      <c r="Q59" s="293" t="s">
        <v>71</v>
      </c>
      <c r="R59" s="294" t="s">
        <v>73</v>
      </c>
      <c r="S59" s="295" t="s">
        <v>75</v>
      </c>
      <c r="T59" s="293" t="s">
        <v>71</v>
      </c>
      <c r="U59" s="294" t="s">
        <v>73</v>
      </c>
      <c r="V59" s="294" t="s">
        <v>75</v>
      </c>
      <c r="W59" s="295" t="s">
        <v>92</v>
      </c>
      <c r="X59" s="345" t="s">
        <v>73</v>
      </c>
      <c r="Y59" s="294" t="s">
        <v>73</v>
      </c>
      <c r="Z59" s="294" t="s">
        <v>75</v>
      </c>
      <c r="AA59" s="296" t="s">
        <v>75</v>
      </c>
      <c r="AB59" s="346" t="s">
        <v>92</v>
      </c>
      <c r="AC59" s="293" t="s">
        <v>72</v>
      </c>
      <c r="AD59" s="294" t="s">
        <v>74</v>
      </c>
      <c r="AE59" s="295" t="s">
        <v>93</v>
      </c>
    </row>
    <row r="60" spans="1:32" x14ac:dyDescent="0.25">
      <c r="A60" s="347">
        <v>2.2959999999999998</v>
      </c>
      <c r="B60" s="348">
        <v>3.79</v>
      </c>
      <c r="C60" s="349">
        <v>1498.6</v>
      </c>
      <c r="D60" s="348">
        <v>22.26</v>
      </c>
      <c r="E60" s="350">
        <f>ROUND(C60*D60/9549,3)</f>
        <v>3.4929999999999999</v>
      </c>
      <c r="F60" s="351">
        <v>3.492</v>
      </c>
      <c r="G60" s="352" t="str">
        <f>IF(OR(E60-F60&gt;0.001*F60,E60-F60&lt;(-0.001)*F60),"ALARM","OK")</f>
        <v>OK</v>
      </c>
      <c r="H60" s="353">
        <f>ROUNDUP((B60*6.28981)*(3500/C60),1)</f>
        <v>55.7</v>
      </c>
      <c r="I60" s="354">
        <v>55.65</v>
      </c>
      <c r="J60" s="355" t="str">
        <f>IF(OR(H60-I60&gt;0.005*I60,H60-I60&lt;(-0.005)*I60),"ALARM","OK")</f>
        <v>OK</v>
      </c>
      <c r="K60" s="356">
        <f>ROUNDUP(((A60-0.13)*(1000/9.81)*$C$56*3.28/$G$56)*(3500/C60)^2,2)</f>
        <v>51.98</v>
      </c>
      <c r="L60" s="348">
        <f>L73/$G$56</f>
        <v>52.711184210526319</v>
      </c>
      <c r="M60" s="357" t="str">
        <f t="shared" ref="M60:M70" si="12">IF(OR(K60-L60&gt;0.005*L60,K60-L60&lt;(-0.005)*L60),"ALARM","OK")</f>
        <v>ALARM</v>
      </c>
      <c r="N60" s="358">
        <f>ROUNDUP((F60/(0.746*$G$56))*(3500/C60)^3,3)</f>
        <v>0.78500000000000003</v>
      </c>
      <c r="O60" s="348">
        <f>O73/$G$56</f>
        <v>0.78503947368421045</v>
      </c>
      <c r="P60" s="352" t="str">
        <f t="shared" ref="P60:P70" si="13">IF(OR(N60-O60&gt;0.005*O60,N60-O60&lt;(-0.005)*O60),"ALARM","OK")</f>
        <v>OK</v>
      </c>
      <c r="Q60" s="298">
        <v>0</v>
      </c>
      <c r="R60" s="299">
        <f>B9</f>
        <v>54.3</v>
      </c>
      <c r="S60" s="300">
        <f>C9</f>
        <v>2.8245</v>
      </c>
      <c r="T60" s="298">
        <v>0</v>
      </c>
      <c r="U60" s="299">
        <f>A53</f>
        <v>52.88711</v>
      </c>
      <c r="V60" s="299">
        <f>G53</f>
        <v>0.76911099999999999</v>
      </c>
      <c r="W60" s="359"/>
      <c r="X60" s="360"/>
      <c r="Y60" s="361"/>
      <c r="Z60" s="361"/>
      <c r="AA60" s="362"/>
      <c r="AB60" s="363"/>
      <c r="AC60" s="364"/>
      <c r="AD60" s="365"/>
      <c r="AE60" s="366"/>
    </row>
    <row r="61" spans="1:32" x14ac:dyDescent="0.25">
      <c r="A61" s="367">
        <v>1.843</v>
      </c>
      <c r="B61" s="368">
        <v>210.73</v>
      </c>
      <c r="C61" s="369">
        <v>1498.3</v>
      </c>
      <c r="D61" s="368">
        <v>39.97</v>
      </c>
      <c r="E61" s="370">
        <f t="shared" ref="E61:E70" si="14">ROUND(C61*D61/9549,3)</f>
        <v>6.2720000000000002</v>
      </c>
      <c r="F61" s="371">
        <v>6.27</v>
      </c>
      <c r="G61" s="372" t="str">
        <f t="shared" ref="G61:G70" si="15">IF(OR(E61-F61&gt;0.001*F61,E61-F61&lt;(-0.001)*F61),"ALARM","OK")</f>
        <v>OK</v>
      </c>
      <c r="H61" s="373">
        <f t="shared" ref="H61:H70" si="16">ROUNDUP((B61*6.28981)*(3500/C61),1)</f>
        <v>3096.2999999999997</v>
      </c>
      <c r="I61" s="368">
        <v>3096.25</v>
      </c>
      <c r="J61" s="372" t="str">
        <f t="shared" ref="J61:J70" si="17">IF(OR(H61-I61&gt;0.005*I61,H61-I61&lt;(-0.005)*I61),"ALARM","OK")</f>
        <v>OK</v>
      </c>
      <c r="K61" s="356">
        <f t="shared" ref="K61:K70" si="18">ROUNDUP(((A61-0.13)*(1000/9.81)*$C$56*3.28/$G$56)*(3500/C61)^2,2)</f>
        <v>41.129999999999995</v>
      </c>
      <c r="L61" s="348">
        <f t="shared" ref="L61:L67" si="19">L74/$G$56</f>
        <v>42.039210526315792</v>
      </c>
      <c r="M61" s="374" t="str">
        <f t="shared" si="12"/>
        <v>ALARM</v>
      </c>
      <c r="N61" s="375">
        <f t="shared" ref="N61:N70" si="20">ROUNDUP((F61/(0.746*$G$56))*(3500/C61)^3,3)</f>
        <v>1.41</v>
      </c>
      <c r="O61" s="348">
        <f t="shared" ref="O61:O67" si="21">O74/$G$56</f>
        <v>1.4101842105263158</v>
      </c>
      <c r="P61" s="372" t="str">
        <f t="shared" si="13"/>
        <v>OK</v>
      </c>
      <c r="Q61" s="307">
        <f>(Q60+Q62)/2</f>
        <v>250</v>
      </c>
      <c r="R61" s="308">
        <f t="shared" ref="R61:R72" si="22">$O$3+$P$3*Q61+$Q$3*Q61^2+$R$3*Q61^3+$S$3*Q61^4+$T$3*Q61^5</f>
        <v>53.22123634755566</v>
      </c>
      <c r="S61" s="309">
        <f t="shared" ref="S61:S72" si="23">$U$3+$V$3*Q61+$W$3*Q61^2+$X$3*Q61^3+$Y$3*Q61^4+$Z$3*Q61^5</f>
        <v>2.767020703856836</v>
      </c>
      <c r="T61" s="307">
        <f>(T60+T62)/2</f>
        <v>250</v>
      </c>
      <c r="U61" s="308">
        <f t="shared" ref="U61:U72" si="24">$A$53+$B$53*T61+$C$53*T61^2+$D$53*T61^3+$E$53*T61^4+$F$53*T61^5</f>
        <v>52.208416570312501</v>
      </c>
      <c r="V61" s="308">
        <f t="shared" ref="V61:V72" si="25">$G$53+$H$53*T61+$I$53*T61^2+$J$53*T61^3+$K$53*T61^4+$L$53*T61^5</f>
        <v>0.84247649874999997</v>
      </c>
      <c r="W61" s="376"/>
      <c r="X61" s="377"/>
      <c r="Y61" s="378"/>
      <c r="Z61" s="378"/>
      <c r="AA61" s="379"/>
      <c r="AB61" s="334"/>
      <c r="AC61" s="380"/>
      <c r="AD61" s="381"/>
      <c r="AE61" s="382"/>
    </row>
    <row r="62" spans="1:32" x14ac:dyDescent="0.25">
      <c r="A62" s="367">
        <v>1.6559999999999999</v>
      </c>
      <c r="B62" s="368">
        <v>245.56</v>
      </c>
      <c r="C62" s="369">
        <v>1498</v>
      </c>
      <c r="D62" s="368">
        <v>41.06</v>
      </c>
      <c r="E62" s="370">
        <f t="shared" si="14"/>
        <v>6.4409999999999998</v>
      </c>
      <c r="F62" s="371">
        <v>6.4390000000000001</v>
      </c>
      <c r="G62" s="372" t="str">
        <f t="shared" si="15"/>
        <v>OK</v>
      </c>
      <c r="H62" s="383">
        <f t="shared" si="16"/>
        <v>3608.7999999999997</v>
      </c>
      <c r="I62" s="368">
        <v>3608.72</v>
      </c>
      <c r="J62" s="372" t="str">
        <f t="shared" si="17"/>
        <v>OK</v>
      </c>
      <c r="K62" s="356">
        <f t="shared" si="18"/>
        <v>36.65</v>
      </c>
      <c r="L62" s="348">
        <f t="shared" si="19"/>
        <v>37.597105263157893</v>
      </c>
      <c r="M62" s="374" t="str">
        <f t="shared" si="12"/>
        <v>ALARM</v>
      </c>
      <c r="N62" s="384">
        <f t="shared" si="20"/>
        <v>1.4489999999999998</v>
      </c>
      <c r="O62" s="348">
        <f t="shared" si="21"/>
        <v>1.4492236842105264</v>
      </c>
      <c r="P62" s="372" t="str">
        <f t="shared" si="13"/>
        <v>OK</v>
      </c>
      <c r="Q62" s="313">
        <f>$C$3</f>
        <v>500</v>
      </c>
      <c r="R62" s="314">
        <f t="shared" si="22"/>
        <v>52.245569806781255</v>
      </c>
      <c r="S62" s="315">
        <f t="shared" si="23"/>
        <v>2.7212485692937505</v>
      </c>
      <c r="T62" s="313">
        <f>$C$3</f>
        <v>500</v>
      </c>
      <c r="U62" s="314">
        <f t="shared" si="24"/>
        <v>51.5379056875</v>
      </c>
      <c r="V62" s="314">
        <f t="shared" si="25"/>
        <v>0.911883895</v>
      </c>
      <c r="W62" s="385">
        <f t="shared" ref="W62:W70" si="26">(T62*U62*100)/(135788*V62)</f>
        <v>20.811138210541436</v>
      </c>
      <c r="X62" s="386">
        <f t="shared" ref="X62:X70" si="27">E11</f>
        <v>54.956140493918511</v>
      </c>
      <c r="Y62" s="387">
        <f t="shared" ref="Y62:AA70" si="28">G11</f>
        <v>49.545116731677162</v>
      </c>
      <c r="Z62" s="387">
        <f t="shared" si="28"/>
        <v>2.5035486837502505</v>
      </c>
      <c r="AA62" s="387">
        <f t="shared" si="28"/>
        <v>2.9389484548372509</v>
      </c>
      <c r="AB62" s="334"/>
      <c r="AC62" s="388" t="str">
        <f t="shared" ref="AC62:AC70" si="29">IF(OR(U62&gt;X62,U62&lt;Y62),"FAIL","PASS")</f>
        <v>PASS</v>
      </c>
      <c r="AD62" s="389" t="str">
        <f t="shared" ref="AD62:AD70" si="30">IF(OR(V62&gt;AA62,V62&lt;Z62),"FAIL","PASS")</f>
        <v>FAIL</v>
      </c>
      <c r="AE62" s="390"/>
      <c r="AF62" s="391" t="s">
        <v>95</v>
      </c>
    </row>
    <row r="63" spans="1:32" x14ac:dyDescent="0.25">
      <c r="A63" s="367">
        <v>1.5189999999999999</v>
      </c>
      <c r="B63" s="368">
        <v>274.20999999999998</v>
      </c>
      <c r="C63" s="369">
        <v>1497.4</v>
      </c>
      <c r="D63" s="368">
        <v>41.13</v>
      </c>
      <c r="E63" s="370">
        <f t="shared" si="14"/>
        <v>6.45</v>
      </c>
      <c r="F63" s="371">
        <v>6.4480000000000004</v>
      </c>
      <c r="G63" s="372" t="str">
        <f t="shared" si="15"/>
        <v>OK</v>
      </c>
      <c r="H63" s="373">
        <f t="shared" si="16"/>
        <v>4031.4</v>
      </c>
      <c r="I63" s="368">
        <v>4031.4</v>
      </c>
      <c r="J63" s="372" t="str">
        <f t="shared" si="17"/>
        <v>OK</v>
      </c>
      <c r="K63" s="356">
        <f t="shared" si="18"/>
        <v>33.39</v>
      </c>
      <c r="L63" s="348">
        <f t="shared" si="19"/>
        <v>34.36513157894737</v>
      </c>
      <c r="M63" s="374" t="str">
        <f t="shared" si="12"/>
        <v>ALARM</v>
      </c>
      <c r="N63" s="392">
        <f t="shared" si="20"/>
        <v>1.4529999999999998</v>
      </c>
      <c r="O63" s="348">
        <f t="shared" si="21"/>
        <v>1.4528552631578948</v>
      </c>
      <c r="P63" s="372" t="str">
        <f t="shared" si="13"/>
        <v>OK</v>
      </c>
      <c r="Q63" s="307">
        <f>(Q62+Q64)/2</f>
        <v>2275</v>
      </c>
      <c r="R63" s="308">
        <f t="shared" si="22"/>
        <v>46.598216124680064</v>
      </c>
      <c r="S63" s="309">
        <f t="shared" si="23"/>
        <v>2.5884125314547242</v>
      </c>
      <c r="T63" s="307">
        <f>(T62+T64)/2</f>
        <v>2275</v>
      </c>
      <c r="U63" s="308">
        <f t="shared" si="24"/>
        <v>45.740247900492186</v>
      </c>
      <c r="V63" s="308">
        <f t="shared" si="25"/>
        <v>1.2908611709874998</v>
      </c>
      <c r="W63" s="393">
        <f t="shared" si="26"/>
        <v>59.366163778935181</v>
      </c>
      <c r="X63" s="394">
        <f t="shared" si="27"/>
        <v>49.294480775551101</v>
      </c>
      <c r="Y63" s="395">
        <f t="shared" si="28"/>
        <v>43.933824081786462</v>
      </c>
      <c r="Z63" s="395">
        <f t="shared" si="28"/>
        <v>2.3813395289383466</v>
      </c>
      <c r="AA63" s="395">
        <f t="shared" si="28"/>
        <v>2.7954855339711022</v>
      </c>
      <c r="AB63" s="334"/>
      <c r="AC63" s="396" t="str">
        <f t="shared" si="29"/>
        <v>PASS</v>
      </c>
      <c r="AD63" s="397" t="str">
        <f t="shared" si="30"/>
        <v>FAIL</v>
      </c>
      <c r="AE63" s="390"/>
    </row>
    <row r="64" spans="1:32" x14ac:dyDescent="0.25">
      <c r="A64" s="367">
        <v>1.337</v>
      </c>
      <c r="B64" s="368">
        <v>303.62</v>
      </c>
      <c r="C64" s="369">
        <v>1497.3</v>
      </c>
      <c r="D64" s="368">
        <v>41.47</v>
      </c>
      <c r="E64" s="370">
        <f t="shared" si="14"/>
        <v>6.5030000000000001</v>
      </c>
      <c r="F64" s="371">
        <v>6.5010000000000003</v>
      </c>
      <c r="G64" s="372" t="str">
        <f t="shared" si="15"/>
        <v>OK</v>
      </c>
      <c r="H64" s="373">
        <f t="shared" si="16"/>
        <v>4464.1000000000004</v>
      </c>
      <c r="I64" s="368">
        <v>4464.0600000000004</v>
      </c>
      <c r="J64" s="372" t="str">
        <f t="shared" si="17"/>
        <v>OK</v>
      </c>
      <c r="K64" s="356">
        <f t="shared" si="18"/>
        <v>29.020000000000003</v>
      </c>
      <c r="L64" s="348">
        <f t="shared" si="19"/>
        <v>30.017105263157898</v>
      </c>
      <c r="M64" s="374" t="str">
        <f t="shared" si="12"/>
        <v>ALARM</v>
      </c>
      <c r="N64" s="392">
        <f t="shared" si="20"/>
        <v>1.4649999999999999</v>
      </c>
      <c r="O64" s="348">
        <f t="shared" si="21"/>
        <v>1.4650657894736843</v>
      </c>
      <c r="P64" s="372" t="str">
        <f t="shared" si="13"/>
        <v>OK</v>
      </c>
      <c r="Q64" s="307">
        <f>(Q62+Q66)/2</f>
        <v>4050</v>
      </c>
      <c r="R64" s="308">
        <f t="shared" si="22"/>
        <v>40.537465397409534</v>
      </c>
      <c r="S64" s="309">
        <f t="shared" si="23"/>
        <v>2.5398848447232392</v>
      </c>
      <c r="T64" s="307">
        <f>(T62+T66)/2</f>
        <v>4050</v>
      </c>
      <c r="U64" s="308">
        <f t="shared" si="24"/>
        <v>34.398938534562497</v>
      </c>
      <c r="V64" s="308">
        <f t="shared" si="25"/>
        <v>1.4703104999499998</v>
      </c>
      <c r="W64" s="393">
        <f t="shared" si="26"/>
        <v>69.779782969111864</v>
      </c>
      <c r="X64" s="394">
        <f t="shared" si="27"/>
        <v>43.360902274433364</v>
      </c>
      <c r="Y64" s="395">
        <f t="shared" si="28"/>
        <v>37.774785601973889</v>
      </c>
      <c r="Z64" s="395">
        <f t="shared" si="28"/>
        <v>2.33669405714538</v>
      </c>
      <c r="AA64" s="395">
        <f t="shared" si="28"/>
        <v>2.7430756323010983</v>
      </c>
      <c r="AB64" s="334"/>
      <c r="AC64" s="396" t="str">
        <f t="shared" si="29"/>
        <v>FAIL</v>
      </c>
      <c r="AD64" s="397" t="str">
        <f t="shared" si="30"/>
        <v>FAIL</v>
      </c>
      <c r="AE64" s="390"/>
    </row>
    <row r="65" spans="1:32" x14ac:dyDescent="0.25">
      <c r="A65" s="367">
        <v>1.1619999999999999</v>
      </c>
      <c r="B65" s="368">
        <v>332.04</v>
      </c>
      <c r="C65" s="369">
        <v>1497.1</v>
      </c>
      <c r="D65" s="368">
        <v>42.07</v>
      </c>
      <c r="E65" s="370">
        <f t="shared" si="14"/>
        <v>6.5960000000000001</v>
      </c>
      <c r="F65" s="371">
        <v>6.5940000000000003</v>
      </c>
      <c r="G65" s="372" t="str">
        <f t="shared" si="15"/>
        <v>OK</v>
      </c>
      <c r="H65" s="373">
        <f t="shared" si="16"/>
        <v>4882.6000000000004</v>
      </c>
      <c r="I65" s="368">
        <v>4882.62</v>
      </c>
      <c r="J65" s="372" t="str">
        <f t="shared" si="17"/>
        <v>OK</v>
      </c>
      <c r="K65" s="356">
        <f t="shared" si="18"/>
        <v>24.82</v>
      </c>
      <c r="L65" s="348">
        <f t="shared" si="19"/>
        <v>25.861052631578946</v>
      </c>
      <c r="M65" s="374" t="str">
        <f t="shared" si="12"/>
        <v>ALARM</v>
      </c>
      <c r="N65" s="392">
        <f t="shared" si="20"/>
        <v>1.4869999999999999</v>
      </c>
      <c r="O65" s="348">
        <f t="shared" si="21"/>
        <v>1.4866578947368421</v>
      </c>
      <c r="P65" s="372" t="str">
        <f t="shared" si="13"/>
        <v>OK</v>
      </c>
      <c r="Q65" s="307">
        <f>(Q64+Q66)/2</f>
        <v>5825</v>
      </c>
      <c r="R65" s="308">
        <f t="shared" si="22"/>
        <v>33.399631371634094</v>
      </c>
      <c r="S65" s="309">
        <f t="shared" si="23"/>
        <v>2.4580554235397249</v>
      </c>
      <c r="T65" s="307">
        <f>(T64+T66)/2</f>
        <v>5825</v>
      </c>
      <c r="U65" s="308">
        <f t="shared" si="24"/>
        <v>12.293168979226564</v>
      </c>
      <c r="V65" s="308">
        <f t="shared" si="25"/>
        <v>1.4502318818875</v>
      </c>
      <c r="W65" s="393">
        <f t="shared" si="26"/>
        <v>36.363103404823924</v>
      </c>
      <c r="X65" s="394">
        <f t="shared" si="27"/>
        <v>36.332462867010086</v>
      </c>
      <c r="Y65" s="395">
        <f t="shared" si="28"/>
        <v>30.589236341325019</v>
      </c>
      <c r="Z65" s="395">
        <f t="shared" si="28"/>
        <v>2.2614109896565471</v>
      </c>
      <c r="AA65" s="395">
        <f t="shared" si="28"/>
        <v>2.6546998574229033</v>
      </c>
      <c r="AB65" s="334"/>
      <c r="AC65" s="396" t="str">
        <f t="shared" si="29"/>
        <v>FAIL</v>
      </c>
      <c r="AD65" s="397" t="str">
        <f t="shared" si="30"/>
        <v>FAIL</v>
      </c>
      <c r="AE65" s="390"/>
    </row>
    <row r="66" spans="1:32" x14ac:dyDescent="0.25">
      <c r="A66" s="367">
        <v>0.89400000000000002</v>
      </c>
      <c r="B66" s="368">
        <v>366.73</v>
      </c>
      <c r="C66" s="369">
        <v>1497.7</v>
      </c>
      <c r="D66" s="368">
        <v>42.47</v>
      </c>
      <c r="E66" s="370">
        <f t="shared" si="14"/>
        <v>6.6609999999999996</v>
      </c>
      <c r="F66" s="371">
        <v>6.6589999999999998</v>
      </c>
      <c r="G66" s="372" t="str">
        <f t="shared" si="15"/>
        <v>OK</v>
      </c>
      <c r="H66" s="383">
        <f t="shared" si="16"/>
        <v>5390.5</v>
      </c>
      <c r="I66" s="368">
        <v>5390.55</v>
      </c>
      <c r="J66" s="372" t="str">
        <f t="shared" si="17"/>
        <v>OK</v>
      </c>
      <c r="K66" s="356">
        <f t="shared" si="18"/>
        <v>18.360000000000003</v>
      </c>
      <c r="L66" s="348">
        <f t="shared" si="19"/>
        <v>19.457236842105264</v>
      </c>
      <c r="M66" s="374" t="str">
        <f t="shared" si="12"/>
        <v>ALARM</v>
      </c>
      <c r="N66" s="384">
        <f t="shared" si="20"/>
        <v>1.4989999999999999</v>
      </c>
      <c r="O66" s="348">
        <f t="shared" si="21"/>
        <v>1.4995921052631578</v>
      </c>
      <c r="P66" s="372" t="str">
        <f t="shared" si="13"/>
        <v>OK</v>
      </c>
      <c r="Q66" s="313">
        <f>$F$3</f>
        <v>7600</v>
      </c>
      <c r="R66" s="314">
        <f t="shared" si="22"/>
        <v>26.279702160517104</v>
      </c>
      <c r="S66" s="315">
        <f t="shared" si="23"/>
        <v>2.3771875742807049</v>
      </c>
      <c r="T66" s="313">
        <f>$F$3</f>
        <v>7600</v>
      </c>
      <c r="U66" s="314">
        <f t="shared" si="24"/>
        <v>-25.797869376000008</v>
      </c>
      <c r="V66" s="314">
        <f t="shared" si="25"/>
        <v>1.2306253167999999</v>
      </c>
      <c r="W66" s="385">
        <f t="shared" si="26"/>
        <v>-117.3303036760328</v>
      </c>
      <c r="X66" s="386">
        <f t="shared" si="27"/>
        <v>29.142190385995498</v>
      </c>
      <c r="Y66" s="387">
        <f t="shared" si="28"/>
        <v>23.589097694949103</v>
      </c>
      <c r="Z66" s="387">
        <f t="shared" si="28"/>
        <v>2.1870125683382486</v>
      </c>
      <c r="AA66" s="387">
        <f t="shared" si="28"/>
        <v>2.5673625802231617</v>
      </c>
      <c r="AB66" s="398">
        <f>0.9*I3</f>
        <v>55.693060246852674</v>
      </c>
      <c r="AC66" s="388" t="str">
        <f t="shared" si="29"/>
        <v>FAIL</v>
      </c>
      <c r="AD66" s="389" t="str">
        <f t="shared" si="30"/>
        <v>FAIL</v>
      </c>
      <c r="AE66" s="399" t="str">
        <f>IF(W66&lt;AB66,"FAIL","PASS")</f>
        <v>FAIL</v>
      </c>
      <c r="AF66" s="391" t="s">
        <v>96</v>
      </c>
    </row>
    <row r="67" spans="1:32" x14ac:dyDescent="0.25">
      <c r="A67" s="367">
        <v>0.11700000000000001</v>
      </c>
      <c r="B67" s="368">
        <v>439.46</v>
      </c>
      <c r="C67" s="369">
        <v>1498.4</v>
      </c>
      <c r="D67" s="368">
        <v>39.33</v>
      </c>
      <c r="E67" s="370">
        <f t="shared" si="14"/>
        <v>6.1719999999999997</v>
      </c>
      <c r="F67" s="371">
        <v>6.17</v>
      </c>
      <c r="G67" s="372" t="str">
        <f t="shared" si="15"/>
        <v>OK</v>
      </c>
      <c r="H67" s="373">
        <f t="shared" si="16"/>
        <v>6456.6</v>
      </c>
      <c r="I67" s="368">
        <v>6456.45</v>
      </c>
      <c r="J67" s="372" t="str">
        <f t="shared" si="17"/>
        <v>OK</v>
      </c>
      <c r="K67" s="356">
        <f t="shared" si="18"/>
        <v>-0.32</v>
      </c>
      <c r="L67" s="348">
        <f t="shared" si="19"/>
        <v>0.68118421052631584</v>
      </c>
      <c r="M67" s="374" t="str">
        <f t="shared" si="12"/>
        <v>ALARM</v>
      </c>
      <c r="N67" s="392">
        <f t="shared" si="20"/>
        <v>1.3869999999999998</v>
      </c>
      <c r="O67" s="348">
        <f t="shared" si="21"/>
        <v>1.3874210526315789</v>
      </c>
      <c r="P67" s="372" t="str">
        <f t="shared" si="13"/>
        <v>OK</v>
      </c>
      <c r="Q67" s="307">
        <f>(Q66+Q68)/2</f>
        <v>8450</v>
      </c>
      <c r="R67" s="308">
        <f t="shared" si="22"/>
        <v>23.055908562691634</v>
      </c>
      <c r="S67" s="309">
        <f t="shared" si="23"/>
        <v>2.3464532565127567</v>
      </c>
      <c r="T67" s="307">
        <f>(T66+T68)/2</f>
        <v>8450</v>
      </c>
      <c r="U67" s="308">
        <f t="shared" si="24"/>
        <v>-51.226513778937502</v>
      </c>
      <c r="V67" s="308">
        <f t="shared" si="25"/>
        <v>1.0548094799499999</v>
      </c>
      <c r="W67" s="393">
        <f t="shared" si="26"/>
        <v>-302.21505413556548</v>
      </c>
      <c r="X67" s="394">
        <f t="shared" si="27"/>
        <v>25.883351678633328</v>
      </c>
      <c r="Y67" s="395">
        <f t="shared" si="28"/>
        <v>20.373858005058374</v>
      </c>
      <c r="Z67" s="395">
        <f t="shared" si="28"/>
        <v>2.1587369959917364</v>
      </c>
      <c r="AA67" s="395">
        <f t="shared" si="28"/>
        <v>2.5341695170337775</v>
      </c>
      <c r="AB67" s="334"/>
      <c r="AC67" s="396" t="str">
        <f t="shared" si="29"/>
        <v>FAIL</v>
      </c>
      <c r="AD67" s="397" t="str">
        <f t="shared" si="30"/>
        <v>FAIL</v>
      </c>
      <c r="AE67" s="390"/>
    </row>
    <row r="68" spans="1:32" x14ac:dyDescent="0.25">
      <c r="A68" s="367"/>
      <c r="B68" s="368"/>
      <c r="C68" s="369"/>
      <c r="D68" s="368"/>
      <c r="E68" s="370">
        <f t="shared" si="14"/>
        <v>0</v>
      </c>
      <c r="F68" s="371"/>
      <c r="G68" s="372" t="str">
        <f t="shared" si="15"/>
        <v>OK</v>
      </c>
      <c r="H68" s="373" t="e">
        <f t="shared" si="16"/>
        <v>#DIV/0!</v>
      </c>
      <c r="I68" s="368"/>
      <c r="J68" s="372" t="e">
        <f t="shared" si="17"/>
        <v>#DIV/0!</v>
      </c>
      <c r="K68" s="356" t="e">
        <f t="shared" si="18"/>
        <v>#DIV/0!</v>
      </c>
      <c r="L68" s="368"/>
      <c r="M68" s="374" t="e">
        <f t="shared" si="12"/>
        <v>#DIV/0!</v>
      </c>
      <c r="N68" s="392" t="e">
        <f t="shared" si="20"/>
        <v>#DIV/0!</v>
      </c>
      <c r="O68" s="371"/>
      <c r="P68" s="372" t="e">
        <f t="shared" si="13"/>
        <v>#DIV/0!</v>
      </c>
      <c r="Q68" s="307">
        <f>(Q66+Q70)/2</f>
        <v>9300</v>
      </c>
      <c r="R68" s="308">
        <f t="shared" si="22"/>
        <v>19.756738027207419</v>
      </c>
      <c r="S68" s="309">
        <f t="shared" si="23"/>
        <v>2.308011977164421</v>
      </c>
      <c r="T68" s="307">
        <f>(T66+T70)/2</f>
        <v>9300</v>
      </c>
      <c r="U68" s="308">
        <f t="shared" si="24"/>
        <v>-82.091450084500011</v>
      </c>
      <c r="V68" s="308">
        <f t="shared" si="25"/>
        <v>0.83323797819999967</v>
      </c>
      <c r="W68" s="393">
        <f t="shared" si="26"/>
        <v>-674.76170603342371</v>
      </c>
      <c r="X68" s="394">
        <f t="shared" si="27"/>
        <v>22.670211021019703</v>
      </c>
      <c r="Y68" s="395">
        <f t="shared" si="28"/>
        <v>16.886386393688504</v>
      </c>
      <c r="Z68" s="395">
        <f t="shared" si="28"/>
        <v>2.1233710189912673</v>
      </c>
      <c r="AA68" s="395">
        <f t="shared" si="28"/>
        <v>2.4926529353375746</v>
      </c>
      <c r="AB68" s="334"/>
      <c r="AC68" s="396" t="str">
        <f t="shared" si="29"/>
        <v>FAIL</v>
      </c>
      <c r="AD68" s="397" t="str">
        <f t="shared" si="30"/>
        <v>FAIL</v>
      </c>
      <c r="AE68" s="390"/>
    </row>
    <row r="69" spans="1:32" x14ac:dyDescent="0.25">
      <c r="A69" s="367"/>
      <c r="B69" s="368"/>
      <c r="C69" s="369"/>
      <c r="D69" s="368"/>
      <c r="E69" s="370">
        <f t="shared" si="14"/>
        <v>0</v>
      </c>
      <c r="F69" s="371"/>
      <c r="G69" s="372" t="str">
        <f t="shared" si="15"/>
        <v>OK</v>
      </c>
      <c r="H69" s="373" t="e">
        <f t="shared" si="16"/>
        <v>#DIV/0!</v>
      </c>
      <c r="I69" s="368"/>
      <c r="J69" s="372" t="e">
        <f t="shared" si="17"/>
        <v>#DIV/0!</v>
      </c>
      <c r="K69" s="356" t="e">
        <f t="shared" si="18"/>
        <v>#DIV/0!</v>
      </c>
      <c r="L69" s="368"/>
      <c r="M69" s="374" t="e">
        <f t="shared" si="12"/>
        <v>#DIV/0!</v>
      </c>
      <c r="N69" s="392" t="e">
        <f t="shared" si="20"/>
        <v>#DIV/0!</v>
      </c>
      <c r="O69" s="371"/>
      <c r="P69" s="372" t="e">
        <f t="shared" si="13"/>
        <v>#DIV/0!</v>
      </c>
      <c r="Q69" s="307">
        <f>(Q68+Q70)/2</f>
        <v>10150</v>
      </c>
      <c r="R69" s="308">
        <f t="shared" si="22"/>
        <v>15.946139712867335</v>
      </c>
      <c r="S69" s="309">
        <f t="shared" si="23"/>
        <v>2.2339832894354554</v>
      </c>
      <c r="T69" s="307">
        <f>(T68+T70)/2</f>
        <v>10150</v>
      </c>
      <c r="U69" s="308">
        <f t="shared" si="24"/>
        <v>-118.96600144181249</v>
      </c>
      <c r="V69" s="308">
        <f t="shared" si="25"/>
        <v>0.56591081154999978</v>
      </c>
      <c r="W69" s="393">
        <f t="shared" si="26"/>
        <v>-1571.37385972782</v>
      </c>
      <c r="X69" s="394">
        <f t="shared" si="27"/>
        <v>19.232937014906632</v>
      </c>
      <c r="Y69" s="395">
        <f t="shared" si="28"/>
        <v>12.477690658235751</v>
      </c>
      <c r="Z69" s="395">
        <f t="shared" si="28"/>
        <v>2.0552646262806191</v>
      </c>
      <c r="AA69" s="395">
        <f t="shared" si="28"/>
        <v>2.4127019525902922</v>
      </c>
      <c r="AB69" s="334"/>
      <c r="AC69" s="396" t="str">
        <f t="shared" si="29"/>
        <v>FAIL</v>
      </c>
      <c r="AD69" s="397" t="str">
        <f t="shared" si="30"/>
        <v>FAIL</v>
      </c>
      <c r="AE69" s="390"/>
    </row>
    <row r="70" spans="1:32" x14ac:dyDescent="0.25">
      <c r="A70" s="367"/>
      <c r="B70" s="368"/>
      <c r="C70" s="369"/>
      <c r="D70" s="368"/>
      <c r="E70" s="370">
        <f t="shared" si="14"/>
        <v>0</v>
      </c>
      <c r="F70" s="371"/>
      <c r="G70" s="372" t="str">
        <f t="shared" si="15"/>
        <v>OK</v>
      </c>
      <c r="H70" s="383" t="e">
        <f t="shared" si="16"/>
        <v>#DIV/0!</v>
      </c>
      <c r="I70" s="368"/>
      <c r="J70" s="372" t="e">
        <f t="shared" si="17"/>
        <v>#DIV/0!</v>
      </c>
      <c r="K70" s="356" t="e">
        <f t="shared" si="18"/>
        <v>#DIV/0!</v>
      </c>
      <c r="L70" s="368"/>
      <c r="M70" s="374" t="e">
        <f t="shared" si="12"/>
        <v>#DIV/0!</v>
      </c>
      <c r="N70" s="384" t="e">
        <f t="shared" si="20"/>
        <v>#DIV/0!</v>
      </c>
      <c r="O70" s="371"/>
      <c r="P70" s="372" t="e">
        <f t="shared" si="13"/>
        <v>#DIV/0!</v>
      </c>
      <c r="Q70" s="313">
        <f>$J$3</f>
        <v>11000</v>
      </c>
      <c r="R70" s="314">
        <f t="shared" si="22"/>
        <v>10.878983427000009</v>
      </c>
      <c r="S70" s="315">
        <f t="shared" si="23"/>
        <v>2.0764822614000007</v>
      </c>
      <c r="T70" s="313">
        <f>$J$3</f>
        <v>11000</v>
      </c>
      <c r="U70" s="314">
        <f t="shared" si="24"/>
        <v>-162.42349100000001</v>
      </c>
      <c r="V70" s="314">
        <f t="shared" si="25"/>
        <v>0.25282797999999973</v>
      </c>
      <c r="W70" s="385">
        <f t="shared" si="26"/>
        <v>-5204.2122334024425</v>
      </c>
      <c r="X70" s="386">
        <f t="shared" si="27"/>
        <v>15.06778191805973</v>
      </c>
      <c r="Y70" s="387">
        <f t="shared" si="28"/>
        <v>6.100804721708883</v>
      </c>
      <c r="Z70" s="387">
        <f t="shared" si="28"/>
        <v>1.9103636804880006</v>
      </c>
      <c r="AA70" s="387">
        <f t="shared" si="28"/>
        <v>2.242600842312001</v>
      </c>
      <c r="AB70" s="334"/>
      <c r="AC70" s="388" t="str">
        <f t="shared" si="29"/>
        <v>FAIL</v>
      </c>
      <c r="AD70" s="389" t="str">
        <f t="shared" si="30"/>
        <v>FAIL</v>
      </c>
      <c r="AE70" s="390"/>
      <c r="AF70" s="400" t="s">
        <v>97</v>
      </c>
    </row>
    <row r="71" spans="1:32" x14ac:dyDescent="0.25">
      <c r="A71" s="367"/>
      <c r="B71" s="368"/>
      <c r="C71" s="369"/>
      <c r="D71" s="368"/>
      <c r="E71" s="310"/>
      <c r="F71" s="371"/>
      <c r="G71" s="311"/>
      <c r="H71" s="401"/>
      <c r="I71" s="368"/>
      <c r="J71" s="311"/>
      <c r="K71" s="402"/>
      <c r="L71" s="368"/>
      <c r="M71" s="403"/>
      <c r="N71" s="404"/>
      <c r="O71" s="371"/>
      <c r="P71" s="311"/>
      <c r="Q71" s="307">
        <f>(Q70+Q72)/2</f>
        <v>11500</v>
      </c>
      <c r="R71" s="308">
        <f t="shared" si="22"/>
        <v>6.8777239709687876</v>
      </c>
      <c r="S71" s="309">
        <f t="shared" si="23"/>
        <v>1.9168084970062509</v>
      </c>
      <c r="T71" s="307">
        <f>(T70+T72)/2</f>
        <v>11500</v>
      </c>
      <c r="U71" s="308">
        <f t="shared" si="24"/>
        <v>-191.29285143750002</v>
      </c>
      <c r="V71" s="308">
        <f t="shared" si="25"/>
        <v>4.7287854999999546E-2</v>
      </c>
      <c r="W71" s="376"/>
      <c r="X71" s="377"/>
      <c r="Y71" s="378"/>
      <c r="Z71" s="378"/>
      <c r="AA71" s="379"/>
      <c r="AB71" s="334"/>
      <c r="AC71" s="380"/>
      <c r="AD71" s="381"/>
      <c r="AE71" s="382"/>
    </row>
    <row r="72" spans="1:32" ht="13.2" thickBot="1" x14ac:dyDescent="0.3">
      <c r="A72" s="405"/>
      <c r="B72" s="406"/>
      <c r="C72" s="407"/>
      <c r="D72" s="406"/>
      <c r="E72" s="325"/>
      <c r="F72" s="408"/>
      <c r="G72" s="326"/>
      <c r="H72" s="409"/>
      <c r="I72" s="421"/>
      <c r="J72" s="326"/>
      <c r="K72" s="410"/>
      <c r="L72" s="406"/>
      <c r="M72" s="344"/>
      <c r="N72" s="411"/>
      <c r="O72" s="408"/>
      <c r="P72" s="326"/>
      <c r="Q72" s="322">
        <f>$N$3</f>
        <v>12000</v>
      </c>
      <c r="R72" s="323">
        <f t="shared" si="22"/>
        <v>1.7660538239999255</v>
      </c>
      <c r="S72" s="324">
        <f t="shared" si="23"/>
        <v>1.6844520287999956</v>
      </c>
      <c r="T72" s="322">
        <f>$N$3</f>
        <v>12000</v>
      </c>
      <c r="U72" s="323">
        <f t="shared" si="24"/>
        <v>-222.755122</v>
      </c>
      <c r="V72" s="323">
        <f t="shared" si="25"/>
        <v>-0.17408467999999999</v>
      </c>
      <c r="W72" s="412"/>
      <c r="X72" s="413"/>
      <c r="Y72" s="414"/>
      <c r="Z72" s="414"/>
      <c r="AA72" s="415"/>
      <c r="AB72" s="416"/>
      <c r="AC72" s="417"/>
      <c r="AD72" s="418"/>
      <c r="AE72" s="419"/>
    </row>
    <row r="73" spans="1:32" x14ac:dyDescent="0.25">
      <c r="I73" s="422"/>
      <c r="L73" s="422">
        <v>4006.05</v>
      </c>
      <c r="O73" s="422">
        <v>59.662999999999997</v>
      </c>
    </row>
    <row r="74" spans="1:32" x14ac:dyDescent="0.25">
      <c r="I74" s="422"/>
      <c r="L74" s="422">
        <v>3194.98</v>
      </c>
      <c r="O74" s="422">
        <v>107.17400000000001</v>
      </c>
    </row>
    <row r="75" spans="1:32" x14ac:dyDescent="0.25">
      <c r="I75" s="422"/>
      <c r="L75" s="422">
        <v>2857.38</v>
      </c>
      <c r="O75" s="422">
        <v>110.14100000000001</v>
      </c>
    </row>
    <row r="76" spans="1:32" x14ac:dyDescent="0.25">
      <c r="I76" s="422"/>
      <c r="L76" s="422">
        <v>2611.75</v>
      </c>
      <c r="O76" s="422">
        <v>110.417</v>
      </c>
    </row>
    <row r="77" spans="1:32" x14ac:dyDescent="0.25">
      <c r="I77" s="422"/>
      <c r="L77" s="422">
        <v>2281.3000000000002</v>
      </c>
      <c r="O77" s="422">
        <v>111.345</v>
      </c>
    </row>
    <row r="78" spans="1:32" x14ac:dyDescent="0.25">
      <c r="I78" s="422"/>
      <c r="L78" s="422">
        <v>1965.44</v>
      </c>
      <c r="O78" s="422">
        <v>112.986</v>
      </c>
    </row>
    <row r="79" spans="1:32" x14ac:dyDescent="0.25">
      <c r="I79" s="422"/>
      <c r="L79" s="422">
        <v>1478.75</v>
      </c>
      <c r="O79" s="422">
        <v>113.96899999999999</v>
      </c>
    </row>
    <row r="80" spans="1:32" x14ac:dyDescent="0.25">
      <c r="I80" s="422"/>
      <c r="L80" s="422">
        <v>51.77</v>
      </c>
      <c r="O80" s="422">
        <v>105.444</v>
      </c>
    </row>
  </sheetData>
  <mergeCells count="26">
    <mergeCell ref="X49:Y49"/>
    <mergeCell ref="A1:N1"/>
    <mergeCell ref="O1:T1"/>
    <mergeCell ref="U1:Z1"/>
    <mergeCell ref="AA1:AF1"/>
    <mergeCell ref="A4:N4"/>
    <mergeCell ref="A5:C5"/>
    <mergeCell ref="D5:I5"/>
    <mergeCell ref="AA5:AD5"/>
    <mergeCell ref="D6:E6"/>
    <mergeCell ref="F6:G6"/>
    <mergeCell ref="J8:M8"/>
    <mergeCell ref="J11:M11"/>
    <mergeCell ref="J14:M14"/>
    <mergeCell ref="AC58:AE58"/>
    <mergeCell ref="A51:L51"/>
    <mergeCell ref="A56:B56"/>
    <mergeCell ref="D56:F56"/>
    <mergeCell ref="H56:P56"/>
    <mergeCell ref="Q56:S56"/>
    <mergeCell ref="T56:W56"/>
    <mergeCell ref="A57:G57"/>
    <mergeCell ref="H57:P57"/>
    <mergeCell ref="Q57:S57"/>
    <mergeCell ref="T57:W57"/>
    <mergeCell ref="X57:AB57"/>
  </mergeCells>
  <pageMargins left="0.75" right="0.75" top="1" bottom="1" header="0.5" footer="0.5"/>
  <pageSetup paperSize="3" scale="53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E80"/>
  <sheetViews>
    <sheetView tabSelected="1" topLeftCell="A63" zoomScale="90" zoomScaleNormal="90" workbookViewId="0">
      <selection activeCell="D84" sqref="D84"/>
    </sheetView>
  </sheetViews>
  <sheetFormatPr defaultRowHeight="12.6" x14ac:dyDescent="0.25"/>
  <cols>
    <col min="1" max="1" width="12.6640625" style="255" customWidth="1"/>
    <col min="2" max="2" width="14.109375" style="255" bestFit="1" customWidth="1"/>
    <col min="3" max="3" width="15.33203125" style="255" bestFit="1" customWidth="1"/>
    <col min="4" max="4" width="14.109375" style="255" bestFit="1" customWidth="1"/>
    <col min="5" max="5" width="13" style="255" bestFit="1" customWidth="1"/>
    <col min="6" max="6" width="13.33203125" style="255" bestFit="1" customWidth="1"/>
    <col min="7" max="7" width="13.88671875" style="255" bestFit="1" customWidth="1"/>
    <col min="8" max="8" width="13.5546875" style="255" bestFit="1" customWidth="1"/>
    <col min="9" max="9" width="14.109375" style="255" bestFit="1" customWidth="1"/>
    <col min="10" max="10" width="14.44140625" style="255" bestFit="1" customWidth="1"/>
    <col min="11" max="11" width="13.88671875" style="255" bestFit="1" customWidth="1"/>
    <col min="12" max="12" width="14.6640625" style="255" bestFit="1" customWidth="1"/>
    <col min="13" max="13" width="14" style="255" customWidth="1"/>
    <col min="14" max="14" width="16.21875" style="255" bestFit="1" customWidth="1"/>
    <col min="15" max="15" width="14" style="255" bestFit="1" customWidth="1"/>
    <col min="16" max="16" width="14.109375" style="255" customWidth="1"/>
    <col min="17" max="17" width="14.88671875" style="280" bestFit="1" customWidth="1"/>
    <col min="18" max="18" width="13.88671875" style="280" bestFit="1" customWidth="1"/>
    <col min="19" max="19" width="14.44140625" style="280" bestFit="1" customWidth="1"/>
    <col min="20" max="20" width="13.5546875" style="280" bestFit="1" customWidth="1"/>
    <col min="21" max="22" width="13.88671875" style="255" bestFit="1" customWidth="1"/>
    <col min="23" max="23" width="14.6640625" style="255" bestFit="1" customWidth="1"/>
    <col min="24" max="24" width="13.5546875" style="255" bestFit="1" customWidth="1"/>
    <col min="25" max="25" width="14.6640625" style="255" bestFit="1" customWidth="1"/>
    <col min="26" max="26" width="13.5546875" style="255" bestFit="1" customWidth="1"/>
    <col min="27" max="27" width="12.77734375" style="255" bestFit="1" customWidth="1"/>
    <col min="28" max="28" width="12.21875" style="255" bestFit="1" customWidth="1"/>
    <col min="29" max="30" width="12.77734375" style="255" bestFit="1" customWidth="1"/>
    <col min="31" max="31" width="13.77734375" style="255" customWidth="1"/>
    <col min="32" max="32" width="12.77734375" style="255" bestFit="1" customWidth="1"/>
    <col min="33" max="16384" width="8.88671875" style="255"/>
  </cols>
  <sheetData>
    <row r="1" spans="1:57" ht="41.25" customHeight="1" thickBot="1" x14ac:dyDescent="0.3">
      <c r="A1" s="519" t="s">
        <v>203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1"/>
      <c r="O1" s="522" t="s">
        <v>38</v>
      </c>
      <c r="P1" s="523"/>
      <c r="Q1" s="523"/>
      <c r="R1" s="523"/>
      <c r="S1" s="523"/>
      <c r="T1" s="523"/>
      <c r="U1" s="522" t="s">
        <v>39</v>
      </c>
      <c r="V1" s="523"/>
      <c r="W1" s="523"/>
      <c r="X1" s="523"/>
      <c r="Y1" s="523"/>
      <c r="Z1" s="524"/>
      <c r="AA1" s="525" t="s">
        <v>133</v>
      </c>
      <c r="AB1" s="526"/>
      <c r="AC1" s="526"/>
      <c r="AD1" s="526"/>
      <c r="AE1" s="526"/>
      <c r="AF1" s="526"/>
    </row>
    <row r="2" spans="1:57" s="265" customFormat="1" ht="50.4" x14ac:dyDescent="0.25">
      <c r="A2" s="256" t="s">
        <v>22</v>
      </c>
      <c r="B2" s="257" t="s">
        <v>26</v>
      </c>
      <c r="C2" s="258" t="s">
        <v>23</v>
      </c>
      <c r="D2" s="257" t="s">
        <v>24</v>
      </c>
      <c r="E2" s="257" t="s">
        <v>25</v>
      </c>
      <c r="F2" s="259" t="s">
        <v>27</v>
      </c>
      <c r="G2" s="257" t="s">
        <v>28</v>
      </c>
      <c r="H2" s="257" t="s">
        <v>29</v>
      </c>
      <c r="I2" s="260" t="s">
        <v>30</v>
      </c>
      <c r="J2" s="261" t="s">
        <v>31</v>
      </c>
      <c r="K2" s="257" t="s">
        <v>32</v>
      </c>
      <c r="L2" s="257" t="s">
        <v>33</v>
      </c>
      <c r="M2" s="257"/>
      <c r="N2" s="262" t="s">
        <v>34</v>
      </c>
      <c r="O2" s="263" t="s">
        <v>189</v>
      </c>
      <c r="P2" s="263" t="s">
        <v>2</v>
      </c>
      <c r="Q2" s="263" t="s">
        <v>3</v>
      </c>
      <c r="R2" s="263" t="s">
        <v>4</v>
      </c>
      <c r="S2" s="263" t="s">
        <v>5</v>
      </c>
      <c r="T2" s="263" t="s">
        <v>6</v>
      </c>
      <c r="U2" s="263" t="s">
        <v>188</v>
      </c>
      <c r="V2" s="263" t="s">
        <v>8</v>
      </c>
      <c r="W2" s="263" t="s">
        <v>9</v>
      </c>
      <c r="X2" s="263" t="s">
        <v>10</v>
      </c>
      <c r="Y2" s="263" t="s">
        <v>11</v>
      </c>
      <c r="Z2" s="264" t="s">
        <v>12</v>
      </c>
      <c r="AA2" s="274" t="s">
        <v>182</v>
      </c>
      <c r="AB2" s="275" t="s">
        <v>183</v>
      </c>
      <c r="AC2" s="275" t="s">
        <v>184</v>
      </c>
      <c r="AD2" s="275" t="s">
        <v>185</v>
      </c>
      <c r="AE2" s="275" t="s">
        <v>186</v>
      </c>
      <c r="AF2" s="276" t="s">
        <v>187</v>
      </c>
    </row>
    <row r="3" spans="1:57" s="265" customFormat="1" ht="13.2" thickBot="1" x14ac:dyDescent="0.3">
      <c r="A3" s="266">
        <f>'Pump coeff'!M6</f>
        <v>61.933599999999998</v>
      </c>
      <c r="B3" s="267">
        <f>'Pump coeff'!N6</f>
        <v>1.6020000000000001</v>
      </c>
      <c r="C3" s="268">
        <f>'Pump coeff'!O6</f>
        <v>4640</v>
      </c>
      <c r="D3" s="267">
        <f>'Pump coeff'!P6</f>
        <v>51.157288376179764</v>
      </c>
      <c r="E3" s="267">
        <f>'Pump coeff'!Q6</f>
        <v>2.5740464989297713</v>
      </c>
      <c r="F3" s="268">
        <f>'Pump coeff'!R6</f>
        <v>5800</v>
      </c>
      <c r="G3" s="267">
        <f>'Pump coeff'!S6</f>
        <v>45.993450185472014</v>
      </c>
      <c r="H3" s="267">
        <f>'Pump coeff'!T6</f>
        <v>2.737059408709952</v>
      </c>
      <c r="I3" s="269">
        <f>'Pump coeff'!U6</f>
        <v>71.784016091992811</v>
      </c>
      <c r="J3" s="268">
        <f>'Pump coeff'!V6</f>
        <v>6960</v>
      </c>
      <c r="K3" s="267">
        <f>'Pump coeff'!W6</f>
        <v>36.008435400811493</v>
      </c>
      <c r="L3" s="267">
        <f>'Pump coeff'!X6</f>
        <v>2.8151309457033857</v>
      </c>
      <c r="M3" s="270"/>
      <c r="N3" s="271">
        <f>'Pump coeff'!Z6</f>
        <v>9500</v>
      </c>
      <c r="O3" s="272">
        <f>'Pump coeff'!AA6</f>
        <v>61.933599999999998</v>
      </c>
      <c r="P3" s="272">
        <f>'Pump coeff'!AB6</f>
        <v>2.9199999999999999E-3</v>
      </c>
      <c r="Q3" s="272">
        <f>'Pump coeff'!AC6</f>
        <v>-4.5899199999999996E-6</v>
      </c>
      <c r="R3" s="272">
        <f>'Pump coeff'!AD6</f>
        <v>1.45977E-9</v>
      </c>
      <c r="S3" s="272">
        <f>'Pump coeff'!AE6</f>
        <v>-1.92291E-13</v>
      </c>
      <c r="T3" s="272">
        <f>'Pump coeff'!AF6</f>
        <v>8.2753999999999999E-18</v>
      </c>
      <c r="U3" s="272">
        <f>'Pump coeff'!AG6</f>
        <v>1.6020000000000001</v>
      </c>
      <c r="V3" s="272">
        <f>'Pump coeff'!AH6</f>
        <v>4.5583400000000001E-5</v>
      </c>
      <c r="W3" s="272">
        <f>'Pump coeff'!AI6</f>
        <v>1.06038E-7</v>
      </c>
      <c r="X3" s="272">
        <f>'Pump coeff'!AJ6</f>
        <v>-2.2699600000000002E-11</v>
      </c>
      <c r="Y3" s="272">
        <f>'Pump coeff'!AK6</f>
        <v>1.91469E-15</v>
      </c>
      <c r="Z3" s="273">
        <f>'Pump coeff'!AL6</f>
        <v>-6.6158600000000001E-20</v>
      </c>
      <c r="AA3" s="294"/>
      <c r="AB3" s="294"/>
      <c r="AC3" s="294"/>
      <c r="AD3" s="294"/>
      <c r="AE3" s="294"/>
      <c r="AF3" s="294"/>
    </row>
    <row r="4" spans="1:57" s="265" customFormat="1" ht="13.2" thickBot="1" x14ac:dyDescent="0.3">
      <c r="A4" s="527" t="s">
        <v>181</v>
      </c>
      <c r="B4" s="528"/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277">
        <v>73.387230000000002</v>
      </c>
      <c r="P4" s="277">
        <v>8.6613069999999997E-5</v>
      </c>
      <c r="Q4" s="277">
        <v>-4.9507349999999998E-6</v>
      </c>
      <c r="R4" s="277">
        <v>1.5643370000000001E-9</v>
      </c>
      <c r="S4" s="277">
        <v>-1.9526480000000001E-13</v>
      </c>
      <c r="T4" s="277">
        <v>8.1127759999999999E-18</v>
      </c>
      <c r="U4" s="277">
        <v>2.1798899999999999</v>
      </c>
      <c r="V4" s="277">
        <v>1.112532E-4</v>
      </c>
      <c r="W4" s="277">
        <v>-3.3526019999999998E-8</v>
      </c>
      <c r="X4" s="277">
        <v>2.06852E-11</v>
      </c>
      <c r="Y4" s="277">
        <v>-3.3131130000000002E-15</v>
      </c>
      <c r="Z4" s="278">
        <v>1.5254130000000001E-19</v>
      </c>
      <c r="AA4" s="427">
        <v>-0.73128870000000001</v>
      </c>
      <c r="AB4" s="428">
        <v>2.87776E-2</v>
      </c>
      <c r="AC4" s="428">
        <v>-5.8510210000000003E-6</v>
      </c>
      <c r="AD4" s="428">
        <v>8.002328E-10</v>
      </c>
      <c r="AE4" s="428">
        <v>-5.8533689999999996E-14</v>
      </c>
      <c r="AF4" s="429">
        <v>7.3377029999999999E-19</v>
      </c>
    </row>
    <row r="5" spans="1:57" ht="13.2" thickBot="1" x14ac:dyDescent="0.3">
      <c r="A5" s="529" t="s">
        <v>76</v>
      </c>
      <c r="B5" s="530"/>
      <c r="C5" s="531"/>
      <c r="D5" s="529" t="s">
        <v>84</v>
      </c>
      <c r="E5" s="530"/>
      <c r="F5" s="532"/>
      <c r="G5" s="532"/>
      <c r="H5" s="532"/>
      <c r="I5" s="533"/>
      <c r="J5" s="279"/>
      <c r="K5" s="279"/>
      <c r="L5" s="279"/>
      <c r="M5" s="279"/>
      <c r="N5" s="279"/>
      <c r="AA5" s="534" t="s">
        <v>199</v>
      </c>
      <c r="AB5" s="535"/>
      <c r="AC5" s="535"/>
      <c r="AD5" s="536"/>
    </row>
    <row r="6" spans="1:57" ht="38.25" customHeight="1" thickBot="1" x14ac:dyDescent="0.3">
      <c r="A6" s="281"/>
      <c r="B6" s="282"/>
      <c r="C6" s="283"/>
      <c r="D6" s="505" t="s">
        <v>85</v>
      </c>
      <c r="E6" s="506"/>
      <c r="F6" s="505" t="s">
        <v>86</v>
      </c>
      <c r="G6" s="506"/>
      <c r="H6" s="284"/>
      <c r="I6" s="285"/>
      <c r="J6" s="279"/>
      <c r="K6" s="279"/>
      <c r="L6" s="279"/>
      <c r="M6" s="279"/>
      <c r="N6" s="279"/>
      <c r="AA6" s="286"/>
      <c r="AB6" s="287"/>
      <c r="AC6" s="288"/>
      <c r="AD6" s="289"/>
    </row>
    <row r="7" spans="1:57" x14ac:dyDescent="0.25">
      <c r="A7" s="274" t="s">
        <v>70</v>
      </c>
      <c r="B7" s="275" t="s">
        <v>72</v>
      </c>
      <c r="C7" s="276" t="s">
        <v>74</v>
      </c>
      <c r="D7" s="274" t="s">
        <v>78</v>
      </c>
      <c r="E7" s="275" t="s">
        <v>81</v>
      </c>
      <c r="F7" s="275" t="s">
        <v>80</v>
      </c>
      <c r="G7" s="275" t="s">
        <v>79</v>
      </c>
      <c r="H7" s="275" t="s">
        <v>82</v>
      </c>
      <c r="I7" s="276" t="s">
        <v>83</v>
      </c>
      <c r="J7" s="290"/>
      <c r="K7" s="290"/>
      <c r="L7" s="290"/>
      <c r="M7" s="290"/>
      <c r="N7" s="290"/>
      <c r="AA7" s="274" t="s">
        <v>70</v>
      </c>
      <c r="AB7" s="275" t="s">
        <v>72</v>
      </c>
      <c r="AC7" s="291" t="s">
        <v>74</v>
      </c>
      <c r="AD7" s="292" t="s">
        <v>135</v>
      </c>
    </row>
    <row r="8" spans="1:57" ht="13.2" thickBot="1" x14ac:dyDescent="0.3">
      <c r="A8" s="293" t="s">
        <v>71</v>
      </c>
      <c r="B8" s="294" t="s">
        <v>73</v>
      </c>
      <c r="C8" s="295" t="s">
        <v>75</v>
      </c>
      <c r="D8" s="293" t="s">
        <v>71</v>
      </c>
      <c r="E8" s="294" t="s">
        <v>73</v>
      </c>
      <c r="F8" s="294" t="s">
        <v>71</v>
      </c>
      <c r="G8" s="294" t="s">
        <v>73</v>
      </c>
      <c r="H8" s="294" t="s">
        <v>75</v>
      </c>
      <c r="I8" s="295" t="s">
        <v>75</v>
      </c>
      <c r="J8" s="518" t="s">
        <v>98</v>
      </c>
      <c r="K8" s="489"/>
      <c r="L8" s="489"/>
      <c r="M8" s="489"/>
      <c r="N8" s="290"/>
      <c r="AA8" s="293" t="s">
        <v>71</v>
      </c>
      <c r="AB8" s="294" t="s">
        <v>73</v>
      </c>
      <c r="AC8" s="296" t="s">
        <v>75</v>
      </c>
      <c r="AD8" s="297" t="s">
        <v>92</v>
      </c>
    </row>
    <row r="9" spans="1:57" x14ac:dyDescent="0.25">
      <c r="A9" s="298">
        <v>0</v>
      </c>
      <c r="B9" s="299">
        <f>O3</f>
        <v>61.933599999999998</v>
      </c>
      <c r="C9" s="300">
        <f>U3</f>
        <v>1.6020000000000001</v>
      </c>
      <c r="D9" s="298"/>
      <c r="E9" s="299"/>
      <c r="F9" s="301"/>
      <c r="G9" s="299"/>
      <c r="H9" s="301"/>
      <c r="I9" s="302"/>
      <c r="J9" s="303">
        <f>A11</f>
        <v>4640</v>
      </c>
      <c r="K9" s="255">
        <v>0</v>
      </c>
      <c r="L9" s="255">
        <v>0</v>
      </c>
      <c r="M9" s="255">
        <v>0</v>
      </c>
      <c r="AA9" s="304">
        <f>A9</f>
        <v>0</v>
      </c>
      <c r="AB9" s="305">
        <f>O4</f>
        <v>73.387230000000002</v>
      </c>
      <c r="AC9" s="306">
        <f>U4</f>
        <v>2.1798899999999999</v>
      </c>
      <c r="AD9" s="424">
        <f>AA4</f>
        <v>-0.73128870000000001</v>
      </c>
    </row>
    <row r="10" spans="1:57" x14ac:dyDescent="0.25">
      <c r="A10" s="307">
        <f>(A9+A11)/2</f>
        <v>2320</v>
      </c>
      <c r="B10" s="308">
        <f t="shared" ref="B10:B21" si="0">$O$3+$P$3*A10+$Q$3*A10^2+$R$3*A10^3+$S$3*A10^4+$T$3*A10^5</f>
        <v>57.217090727885541</v>
      </c>
      <c r="C10" s="309">
        <f t="shared" ref="C10:C21" si="1">$U$3+$V$3*A10+$W$3*A10^2+$X$3*A10^3+$Y$3*A10^4+$Z$3*A10^5</f>
        <v>2.0460611284515422</v>
      </c>
      <c r="D10" s="307"/>
      <c r="E10" s="308"/>
      <c r="F10" s="310"/>
      <c r="G10" s="308"/>
      <c r="H10" s="310"/>
      <c r="I10" s="311"/>
      <c r="J10" s="303">
        <f>A11</f>
        <v>4640</v>
      </c>
      <c r="K10" s="255">
        <v>70</v>
      </c>
      <c r="L10" s="255">
        <v>3.5</v>
      </c>
      <c r="M10" s="255">
        <v>70</v>
      </c>
      <c r="AA10" s="307">
        <f t="shared" ref="AA10:AA21" si="2">A10</f>
        <v>2320</v>
      </c>
      <c r="AB10" s="308">
        <f>$O$4+$P$4*A10+$Q$4*A10^2+$R$4*A10^3+$S$4*A10^4+$T$4*A10^5</f>
        <v>61.363876310506029</v>
      </c>
      <c r="AC10" s="312">
        <f>$U$4+$V$4*AA10+$W$4*AA10^2+$X$4*AA10^3+$Y$4*AA10^4+$Z$4*AA10^5</f>
        <v>2.4301173397353795</v>
      </c>
      <c r="AD10" s="425">
        <f>$AA$4+$AB$4*AA10+$AC$4*AA10^2+$AD$4*AA10^3+$AE$4*AA10^4+$AF$4*AA10^5</f>
        <v>42.886432220812182</v>
      </c>
    </row>
    <row r="11" spans="1:57" s="319" customFormat="1" x14ac:dyDescent="0.25">
      <c r="A11" s="313">
        <f>$C$3</f>
        <v>4640</v>
      </c>
      <c r="B11" s="314">
        <f t="shared" si="0"/>
        <v>51.157288376179764</v>
      </c>
      <c r="C11" s="315">
        <f t="shared" si="1"/>
        <v>2.5740464989297713</v>
      </c>
      <c r="D11" s="316">
        <f t="shared" ref="D11:D19" si="3">0.95*A11</f>
        <v>4408</v>
      </c>
      <c r="E11" s="314">
        <f t="shared" ref="E11:E19" si="4">($O$3+$P$3*D11+$Q$3*D11^2+$R$3*D11^3+$S$3*D11^4+$T$3*D11^5)*1.05</f>
        <v>54.414279370244778</v>
      </c>
      <c r="F11" s="317">
        <f t="shared" ref="F11:F19" si="5">1.05*A11</f>
        <v>4872</v>
      </c>
      <c r="G11" s="314">
        <f t="shared" ref="G11:G19" si="6">($O$3+$P$3*F11+$Q$3*F11^2+$R$3*F11^3+$S$3*F11^4+$T$3*F11^5)*0.95</f>
        <v>47.880699300833861</v>
      </c>
      <c r="H11" s="314">
        <f t="shared" ref="H11:H19" si="7">C11*0.92</f>
        <v>2.3681227790153896</v>
      </c>
      <c r="I11" s="315">
        <f t="shared" ref="I11:I19" si="8">1.08*C11</f>
        <v>2.7799702188441531</v>
      </c>
      <c r="J11" s="491" t="s">
        <v>96</v>
      </c>
      <c r="K11" s="489"/>
      <c r="L11" s="489"/>
      <c r="M11" s="489"/>
      <c r="N11" s="318"/>
      <c r="Q11" s="320"/>
      <c r="R11" s="320"/>
      <c r="S11" s="320"/>
      <c r="T11" s="320"/>
      <c r="AA11" s="307">
        <f t="shared" si="2"/>
        <v>4640</v>
      </c>
      <c r="AB11" s="308">
        <f t="shared" ref="AB11:AB21" si="9">$O$4+$P$4*A11+$Q$4*A11^2+$R$4*A11^3+$S$4*A11^4+$T$4*A11^5</f>
        <v>50.413575714056208</v>
      </c>
      <c r="AC11" s="312">
        <f t="shared" ref="AC11:AC21" si="10">$U$4+$V$4*AA11+$W$4*AA11^2+$X$4*AA11^3+$Y$4*AA11^4+$Z$4*AA11^5</f>
        <v>2.8330714498432399</v>
      </c>
      <c r="AD11" s="425">
        <f t="shared" ref="AD11:AD21" si="11">$AA$4+$AB$4*AA11+$AC$4*AA11^2+$AD$4*AA11^3+$AE$4*AA11^4+$AF$4*AA11^5</f>
        <v>61.21417008014982</v>
      </c>
      <c r="AE11" s="318"/>
      <c r="AF11" s="318"/>
      <c r="AG11" s="318"/>
      <c r="AH11" s="318"/>
      <c r="AI11" s="318"/>
      <c r="AJ11" s="318"/>
      <c r="AK11" s="318"/>
      <c r="AL11" s="318"/>
      <c r="AM11" s="318"/>
      <c r="AN11" s="318"/>
      <c r="AO11" s="318"/>
      <c r="AP11" s="318"/>
      <c r="AQ11" s="318"/>
      <c r="AR11" s="318"/>
      <c r="AS11" s="318"/>
      <c r="AT11" s="318"/>
      <c r="AU11" s="318"/>
      <c r="AV11" s="318"/>
      <c r="AW11" s="318"/>
      <c r="AX11" s="318"/>
      <c r="AY11" s="318"/>
      <c r="AZ11" s="318"/>
      <c r="BA11" s="318"/>
      <c r="BB11" s="318"/>
      <c r="BC11" s="318"/>
      <c r="BD11" s="318"/>
      <c r="BE11" s="318"/>
    </row>
    <row r="12" spans="1:57" x14ac:dyDescent="0.25">
      <c r="A12" s="307">
        <f>(A11+A13)/2</f>
        <v>4930</v>
      </c>
      <c r="B12" s="308">
        <f t="shared" si="0"/>
        <v>50.194557313093469</v>
      </c>
      <c r="C12" s="309">
        <f t="shared" si="1"/>
        <v>2.62241970273555</v>
      </c>
      <c r="D12" s="307">
        <f t="shared" si="3"/>
        <v>4683.5</v>
      </c>
      <c r="E12" s="308">
        <f t="shared" si="4"/>
        <v>53.574237929044301</v>
      </c>
      <c r="F12" s="310">
        <f t="shared" si="5"/>
        <v>5176.5</v>
      </c>
      <c r="G12" s="308">
        <f t="shared" si="6"/>
        <v>46.767844656776106</v>
      </c>
      <c r="H12" s="308">
        <f t="shared" si="7"/>
        <v>2.4126261265167059</v>
      </c>
      <c r="I12" s="309">
        <f t="shared" si="8"/>
        <v>2.8322132789543941</v>
      </c>
      <c r="J12" s="321">
        <f>A15</f>
        <v>5800</v>
      </c>
      <c r="K12" s="318">
        <v>0</v>
      </c>
      <c r="L12" s="318">
        <v>0</v>
      </c>
      <c r="M12" s="318">
        <v>0</v>
      </c>
      <c r="N12" s="318"/>
      <c r="AA12" s="307">
        <f t="shared" si="2"/>
        <v>4930</v>
      </c>
      <c r="AB12" s="308">
        <f t="shared" si="9"/>
        <v>49.209249674245811</v>
      </c>
      <c r="AC12" s="312">
        <f t="shared" si="10"/>
        <v>2.8791829995083007</v>
      </c>
      <c r="AD12" s="425">
        <f t="shared" si="11"/>
        <v>62.379671997490767</v>
      </c>
      <c r="AE12" s="318"/>
      <c r="AF12" s="318"/>
      <c r="AG12" s="318"/>
      <c r="AH12" s="318"/>
      <c r="AI12" s="318"/>
      <c r="AJ12" s="318"/>
      <c r="AK12" s="318"/>
      <c r="AL12" s="318"/>
      <c r="AM12" s="318"/>
      <c r="AN12" s="318"/>
      <c r="AO12" s="318"/>
      <c r="AP12" s="318"/>
      <c r="AQ12" s="318"/>
      <c r="AR12" s="318"/>
      <c r="AS12" s="318"/>
      <c r="AT12" s="318"/>
      <c r="AU12" s="318"/>
      <c r="AV12" s="318"/>
      <c r="AW12" s="318"/>
      <c r="AX12" s="318"/>
      <c r="AY12" s="318"/>
      <c r="AZ12" s="318"/>
      <c r="BA12" s="318"/>
      <c r="BB12" s="318"/>
      <c r="BC12" s="318"/>
      <c r="BD12" s="318"/>
      <c r="BE12" s="318"/>
    </row>
    <row r="13" spans="1:57" x14ac:dyDescent="0.25">
      <c r="A13" s="307">
        <f>(A11+A15)/2</f>
        <v>5220</v>
      </c>
      <c r="B13" s="308">
        <f t="shared" si="0"/>
        <v>49.042639338557279</v>
      </c>
      <c r="C13" s="309">
        <f t="shared" si="1"/>
        <v>2.6657939287166483</v>
      </c>
      <c r="D13" s="307">
        <f t="shared" si="3"/>
        <v>4959</v>
      </c>
      <c r="E13" s="308">
        <f t="shared" si="4"/>
        <v>52.593083739684175</v>
      </c>
      <c r="F13" s="310">
        <f t="shared" si="5"/>
        <v>5481</v>
      </c>
      <c r="G13" s="308">
        <f t="shared" si="6"/>
        <v>45.41619113039885</v>
      </c>
      <c r="H13" s="308">
        <f t="shared" si="7"/>
        <v>2.4525304144193165</v>
      </c>
      <c r="I13" s="309">
        <f t="shared" si="8"/>
        <v>2.8790574430139806</v>
      </c>
      <c r="J13" s="321">
        <f>A15</f>
        <v>5800</v>
      </c>
      <c r="K13" s="318">
        <v>70</v>
      </c>
      <c r="L13" s="318">
        <v>3.5</v>
      </c>
      <c r="M13" s="318">
        <v>70</v>
      </c>
      <c r="N13" s="318"/>
      <c r="AA13" s="307">
        <f t="shared" si="2"/>
        <v>5220</v>
      </c>
      <c r="AB13" s="308">
        <f t="shared" si="9"/>
        <v>47.909359369810012</v>
      </c>
      <c r="AC13" s="312">
        <f t="shared" si="10"/>
        <v>2.9205977666345966</v>
      </c>
      <c r="AD13" s="425">
        <f t="shared" si="11"/>
        <v>63.263323601671829</v>
      </c>
      <c r="AE13" s="318"/>
      <c r="AF13" s="318"/>
      <c r="AG13" s="318"/>
      <c r="AH13" s="318"/>
      <c r="AI13" s="318"/>
      <c r="AJ13" s="318"/>
      <c r="AK13" s="318"/>
      <c r="AL13" s="318"/>
      <c r="AM13" s="318"/>
      <c r="AN13" s="318"/>
      <c r="AO13" s="318"/>
      <c r="AP13" s="318"/>
      <c r="AQ13" s="318"/>
      <c r="AR13" s="318"/>
      <c r="AS13" s="318"/>
      <c r="AT13" s="318"/>
      <c r="AU13" s="318"/>
      <c r="AV13" s="318"/>
      <c r="AW13" s="318"/>
      <c r="AX13" s="318"/>
      <c r="AY13" s="318"/>
      <c r="AZ13" s="318"/>
      <c r="BA13" s="318"/>
      <c r="BB13" s="318"/>
      <c r="BC13" s="318"/>
      <c r="BD13" s="318"/>
      <c r="BE13" s="318"/>
    </row>
    <row r="14" spans="1:57" x14ac:dyDescent="0.25">
      <c r="A14" s="307">
        <f>(A13+A15)/2</f>
        <v>5510</v>
      </c>
      <c r="B14" s="308">
        <f t="shared" si="0"/>
        <v>47.65608071143015</v>
      </c>
      <c r="C14" s="309">
        <f t="shared" si="1"/>
        <v>2.7040396912186</v>
      </c>
      <c r="D14" s="307">
        <f t="shared" si="3"/>
        <v>5234.5</v>
      </c>
      <c r="E14" s="308">
        <f t="shared" si="4"/>
        <v>51.428210614853448</v>
      </c>
      <c r="F14" s="310">
        <f t="shared" si="5"/>
        <v>5785.5</v>
      </c>
      <c r="G14" s="308">
        <f t="shared" si="6"/>
        <v>43.779528202589148</v>
      </c>
      <c r="H14" s="308">
        <f t="shared" si="7"/>
        <v>2.4877165159211123</v>
      </c>
      <c r="I14" s="309">
        <f t="shared" si="8"/>
        <v>2.9203628665160881</v>
      </c>
      <c r="J14" s="491" t="s">
        <v>99</v>
      </c>
      <c r="K14" s="489"/>
      <c r="L14" s="489"/>
      <c r="M14" s="489"/>
      <c r="N14" s="318"/>
      <c r="AA14" s="307">
        <f t="shared" si="2"/>
        <v>5510</v>
      </c>
      <c r="AB14" s="308">
        <f t="shared" si="9"/>
        <v>46.468784677817311</v>
      </c>
      <c r="AC14" s="312">
        <f t="shared" si="10"/>
        <v>2.9562546896960651</v>
      </c>
      <c r="AD14" s="425">
        <f t="shared" si="11"/>
        <v>63.836024956626623</v>
      </c>
      <c r="AE14" s="318"/>
      <c r="AF14" s="318"/>
      <c r="AG14" s="318"/>
      <c r="AH14" s="318"/>
      <c r="AI14" s="318"/>
      <c r="AJ14" s="318"/>
      <c r="AK14" s="318"/>
      <c r="AL14" s="318"/>
      <c r="AM14" s="318"/>
      <c r="AN14" s="318"/>
      <c r="AO14" s="318"/>
      <c r="AP14" s="318"/>
      <c r="AQ14" s="318"/>
      <c r="AR14" s="318"/>
      <c r="AS14" s="318"/>
      <c r="AT14" s="318"/>
      <c r="AU14" s="318"/>
      <c r="AV14" s="318"/>
      <c r="AW14" s="318"/>
      <c r="AX14" s="318"/>
      <c r="AY14" s="318"/>
      <c r="AZ14" s="318"/>
      <c r="BA14" s="318"/>
      <c r="BB14" s="318"/>
      <c r="BC14" s="318"/>
      <c r="BD14" s="318"/>
      <c r="BE14" s="318"/>
    </row>
    <row r="15" spans="1:57" s="319" customFormat="1" x14ac:dyDescent="0.25">
      <c r="A15" s="313">
        <f>$F$3</f>
        <v>5800</v>
      </c>
      <c r="B15" s="314">
        <f t="shared" si="0"/>
        <v>45.993450185472014</v>
      </c>
      <c r="C15" s="315">
        <f t="shared" si="1"/>
        <v>2.737059408709952</v>
      </c>
      <c r="D15" s="316">
        <f t="shared" si="3"/>
        <v>5510</v>
      </c>
      <c r="E15" s="314">
        <f t="shared" si="4"/>
        <v>50.03888474700166</v>
      </c>
      <c r="F15" s="317">
        <f t="shared" si="5"/>
        <v>6090</v>
      </c>
      <c r="G15" s="314">
        <f t="shared" si="6"/>
        <v>41.81840707164806</v>
      </c>
      <c r="H15" s="314">
        <f t="shared" si="7"/>
        <v>2.5180946560131559</v>
      </c>
      <c r="I15" s="315">
        <f t="shared" si="8"/>
        <v>2.9560241614067482</v>
      </c>
      <c r="J15" s="321">
        <f>A19</f>
        <v>6960</v>
      </c>
      <c r="K15" s="318">
        <v>0</v>
      </c>
      <c r="L15" s="318">
        <v>0</v>
      </c>
      <c r="M15" s="318">
        <v>0</v>
      </c>
      <c r="N15" s="318"/>
      <c r="Q15" s="320"/>
      <c r="R15" s="320"/>
      <c r="S15" s="320"/>
      <c r="T15" s="320"/>
      <c r="AA15" s="307">
        <f t="shared" si="2"/>
        <v>5800</v>
      </c>
      <c r="AB15" s="308">
        <f t="shared" si="9"/>
        <v>44.845202684599712</v>
      </c>
      <c r="AC15" s="312">
        <f t="shared" si="10"/>
        <v>2.9852061349403831</v>
      </c>
      <c r="AD15" s="425">
        <f t="shared" si="11"/>
        <v>64.061991084199889</v>
      </c>
      <c r="AE15" s="318"/>
      <c r="AF15" s="318"/>
      <c r="AG15" s="318"/>
      <c r="AH15" s="318"/>
      <c r="AI15" s="318"/>
      <c r="AJ15" s="318"/>
      <c r="AK15" s="318"/>
      <c r="AL15" s="318"/>
      <c r="AM15" s="318"/>
      <c r="AN15" s="318"/>
      <c r="AO15" s="318"/>
      <c r="AP15" s="318"/>
      <c r="AQ15" s="318"/>
      <c r="AR15" s="318"/>
      <c r="AS15" s="318"/>
      <c r="AT15" s="318"/>
      <c r="AU15" s="318"/>
      <c r="AV15" s="318"/>
      <c r="AW15" s="318"/>
      <c r="AX15" s="318"/>
      <c r="AY15" s="318"/>
      <c r="AZ15" s="318"/>
      <c r="BA15" s="318"/>
      <c r="BB15" s="318"/>
      <c r="BC15" s="318"/>
      <c r="BD15" s="318"/>
      <c r="BE15" s="318"/>
    </row>
    <row r="16" spans="1:57" x14ac:dyDescent="0.25">
      <c r="A16" s="307">
        <f>(A15+A17)/2</f>
        <v>6090</v>
      </c>
      <c r="B16" s="308">
        <f t="shared" si="0"/>
        <v>44.019375864892694</v>
      </c>
      <c r="C16" s="309">
        <f t="shared" si="1"/>
        <v>2.7647711199154346</v>
      </c>
      <c r="D16" s="307">
        <f t="shared" si="3"/>
        <v>5785.5</v>
      </c>
      <c r="E16" s="308">
        <f t="shared" si="4"/>
        <v>48.387899592335373</v>
      </c>
      <c r="F16" s="310">
        <f t="shared" si="5"/>
        <v>6394.5</v>
      </c>
      <c r="G16" s="308">
        <f t="shared" si="6"/>
        <v>39.502610274414593</v>
      </c>
      <c r="H16" s="308">
        <f t="shared" si="7"/>
        <v>2.5435894303222</v>
      </c>
      <c r="I16" s="309">
        <f t="shared" si="8"/>
        <v>2.9859528095086696</v>
      </c>
      <c r="J16" s="321">
        <f>A19</f>
        <v>6960</v>
      </c>
      <c r="K16" s="318">
        <v>70</v>
      </c>
      <c r="L16" s="318">
        <v>3.5</v>
      </c>
      <c r="M16" s="318">
        <v>70</v>
      </c>
      <c r="N16" s="318"/>
      <c r="AA16" s="307">
        <f t="shared" si="2"/>
        <v>6090</v>
      </c>
      <c r="AB16" s="308">
        <f t="shared" si="9"/>
        <v>43.001084514040258</v>
      </c>
      <c r="AC16" s="312">
        <f t="shared" si="10"/>
        <v>3.006655441956962</v>
      </c>
      <c r="AD16" s="425">
        <f t="shared" si="11"/>
        <v>63.898932569810825</v>
      </c>
      <c r="AE16" s="318"/>
      <c r="AF16" s="318"/>
      <c r="AG16" s="318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8"/>
      <c r="AX16" s="318"/>
      <c r="AY16" s="318"/>
      <c r="AZ16" s="318"/>
      <c r="BA16" s="318"/>
      <c r="BB16" s="318"/>
      <c r="BC16" s="318"/>
      <c r="BD16" s="318"/>
      <c r="BE16" s="318"/>
    </row>
    <row r="17" spans="1:57" x14ac:dyDescent="0.25">
      <c r="A17" s="307">
        <f>(A15+A19)/2</f>
        <v>6380</v>
      </c>
      <c r="B17" s="308">
        <f t="shared" si="0"/>
        <v>41.70658205990145</v>
      </c>
      <c r="C17" s="309">
        <f t="shared" si="1"/>
        <v>2.7870921999491363</v>
      </c>
      <c r="D17" s="307">
        <f t="shared" si="3"/>
        <v>6061</v>
      </c>
      <c r="E17" s="308">
        <f t="shared" si="4"/>
        <v>46.44323075481423</v>
      </c>
      <c r="F17" s="310">
        <f t="shared" si="5"/>
        <v>6699</v>
      </c>
      <c r="G17" s="308">
        <f t="shared" si="6"/>
        <v>36.813621307389162</v>
      </c>
      <c r="H17" s="308">
        <f t="shared" si="7"/>
        <v>2.5641248239532053</v>
      </c>
      <c r="I17" s="309">
        <f t="shared" si="8"/>
        <v>3.0100595759450672</v>
      </c>
      <c r="J17" s="318"/>
      <c r="K17" s="318"/>
      <c r="L17" s="318"/>
      <c r="M17" s="318"/>
      <c r="N17" s="318"/>
      <c r="AA17" s="307">
        <f t="shared" si="2"/>
        <v>6380</v>
      </c>
      <c r="AB17" s="308">
        <f t="shared" si="9"/>
        <v>40.905692155861601</v>
      </c>
      <c r="AC17" s="312">
        <f t="shared" si="10"/>
        <v>3.0199944692449368</v>
      </c>
      <c r="AD17" s="425">
        <f t="shared" si="11"/>
        <v>63.298236168116524</v>
      </c>
      <c r="AE17" s="318"/>
      <c r="AF17" s="318"/>
      <c r="AG17" s="318"/>
      <c r="AH17" s="318"/>
      <c r="AI17" s="318"/>
      <c r="AJ17" s="318"/>
      <c r="AK17" s="318"/>
      <c r="AL17" s="318"/>
      <c r="AM17" s="318"/>
      <c r="AN17" s="318"/>
      <c r="AO17" s="318"/>
      <c r="AP17" s="318"/>
      <c r="AQ17" s="318"/>
      <c r="AR17" s="318"/>
      <c r="AS17" s="318"/>
      <c r="AT17" s="318"/>
      <c r="AU17" s="318"/>
      <c r="AV17" s="318"/>
      <c r="AW17" s="318"/>
      <c r="AX17" s="318"/>
      <c r="AY17" s="318"/>
      <c r="AZ17" s="318"/>
      <c r="BA17" s="318"/>
      <c r="BB17" s="318"/>
      <c r="BC17" s="318"/>
      <c r="BD17" s="318"/>
      <c r="BE17" s="318"/>
    </row>
    <row r="18" spans="1:57" x14ac:dyDescent="0.25">
      <c r="A18" s="307">
        <f>(A17+A19)/2</f>
        <v>6670</v>
      </c>
      <c r="B18" s="308">
        <f t="shared" si="0"/>
        <v>39.037926142255998</v>
      </c>
      <c r="C18" s="309">
        <f t="shared" si="1"/>
        <v>2.8039230764476795</v>
      </c>
      <c r="D18" s="307">
        <f t="shared" si="3"/>
        <v>6336.5</v>
      </c>
      <c r="E18" s="308">
        <f t="shared" si="4"/>
        <v>44.179690870147162</v>
      </c>
      <c r="F18" s="310">
        <f t="shared" si="5"/>
        <v>7003.5</v>
      </c>
      <c r="G18" s="308">
        <f t="shared" si="6"/>
        <v>33.747094247857824</v>
      </c>
      <c r="H18" s="308">
        <f t="shared" si="7"/>
        <v>2.5796092303318652</v>
      </c>
      <c r="I18" s="309">
        <f t="shared" si="8"/>
        <v>3.0282369225634942</v>
      </c>
      <c r="J18" s="318"/>
      <c r="K18" s="318"/>
      <c r="L18" s="318"/>
      <c r="M18" s="318"/>
      <c r="N18" s="318"/>
      <c r="AA18" s="307">
        <f t="shared" si="2"/>
        <v>6670</v>
      </c>
      <c r="AB18" s="308">
        <f t="shared" si="9"/>
        <v>38.537075293913759</v>
      </c>
      <c r="AC18" s="312">
        <f t="shared" si="10"/>
        <v>3.0248411397811688</v>
      </c>
      <c r="AD18" s="425">
        <f t="shared" si="11"/>
        <v>62.20514540867557</v>
      </c>
      <c r="AE18" s="318"/>
      <c r="AF18" s="318"/>
      <c r="AG18" s="318"/>
      <c r="AH18" s="318"/>
      <c r="AI18" s="318"/>
      <c r="AJ18" s="318"/>
      <c r="AK18" s="318"/>
      <c r="AL18" s="318"/>
      <c r="AM18" s="318"/>
      <c r="AN18" s="318"/>
      <c r="AO18" s="318"/>
      <c r="AP18" s="318"/>
      <c r="AQ18" s="318"/>
      <c r="AR18" s="318"/>
      <c r="AS18" s="318"/>
      <c r="AT18" s="318"/>
      <c r="AU18" s="318"/>
      <c r="AV18" s="318"/>
      <c r="AW18" s="318"/>
      <c r="AX18" s="318"/>
      <c r="AY18" s="318"/>
      <c r="AZ18" s="318"/>
      <c r="BA18" s="318"/>
      <c r="BB18" s="318"/>
      <c r="BC18" s="318"/>
      <c r="BD18" s="318"/>
      <c r="BE18" s="318"/>
    </row>
    <row r="19" spans="1:57" s="319" customFormat="1" x14ac:dyDescent="0.25">
      <c r="A19" s="313">
        <f>$J$3</f>
        <v>6960</v>
      </c>
      <c r="B19" s="314">
        <f t="shared" si="0"/>
        <v>36.008435400811493</v>
      </c>
      <c r="C19" s="315">
        <f t="shared" si="1"/>
        <v>2.8151309457033857</v>
      </c>
      <c r="D19" s="316">
        <f t="shared" si="3"/>
        <v>6612</v>
      </c>
      <c r="E19" s="314">
        <f t="shared" si="4"/>
        <v>41.580584489788841</v>
      </c>
      <c r="F19" s="317">
        <f t="shared" si="5"/>
        <v>7308</v>
      </c>
      <c r="G19" s="314">
        <f t="shared" si="6"/>
        <v>30.315323375015652</v>
      </c>
      <c r="H19" s="314">
        <f t="shared" si="7"/>
        <v>2.5899204700471148</v>
      </c>
      <c r="I19" s="315">
        <f t="shared" si="8"/>
        <v>3.0403414213596567</v>
      </c>
      <c r="J19" s="318"/>
      <c r="K19" s="318"/>
      <c r="L19" s="318"/>
      <c r="M19" s="318"/>
      <c r="N19" s="318"/>
      <c r="Q19" s="320"/>
      <c r="R19" s="320"/>
      <c r="S19" s="320"/>
      <c r="T19" s="320"/>
      <c r="AA19" s="307">
        <f t="shared" si="2"/>
        <v>6960</v>
      </c>
      <c r="AB19" s="308">
        <f t="shared" si="9"/>
        <v>35.884068134462382</v>
      </c>
      <c r="AC19" s="312">
        <f t="shared" si="10"/>
        <v>3.021076986588239</v>
      </c>
      <c r="AD19" s="425">
        <f t="shared" si="11"/>
        <v>60.558941201611546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8"/>
      <c r="AV19" s="318"/>
      <c r="AW19" s="318"/>
      <c r="AX19" s="318"/>
      <c r="AY19" s="318"/>
      <c r="AZ19" s="318"/>
      <c r="BA19" s="318"/>
      <c r="BB19" s="318"/>
      <c r="BC19" s="318"/>
      <c r="BD19" s="318"/>
      <c r="BE19" s="318"/>
    </row>
    <row r="20" spans="1:57" x14ac:dyDescent="0.25">
      <c r="A20" s="307">
        <f>(A19+A21)/2</f>
        <v>8230</v>
      </c>
      <c r="B20" s="308">
        <f t="shared" si="0"/>
        <v>19.086657382596513</v>
      </c>
      <c r="C20" s="309">
        <f t="shared" si="1"/>
        <v>2.7918583775923769</v>
      </c>
      <c r="D20" s="307"/>
      <c r="E20" s="308"/>
      <c r="F20" s="310"/>
      <c r="G20" s="308"/>
      <c r="H20" s="310"/>
      <c r="I20" s="311"/>
      <c r="AA20" s="307">
        <f t="shared" si="2"/>
        <v>8230</v>
      </c>
      <c r="AB20" s="308">
        <f t="shared" si="9"/>
        <v>21.289223247766188</v>
      </c>
      <c r="AC20" s="312">
        <f t="shared" si="10"/>
        <v>2.9152880126625051</v>
      </c>
      <c r="AD20" s="425">
        <f t="shared" si="11"/>
        <v>45.052311386304424</v>
      </c>
    </row>
    <row r="21" spans="1:57" ht="13.2" thickBot="1" x14ac:dyDescent="0.3">
      <c r="A21" s="322">
        <f>$N$3</f>
        <v>9500</v>
      </c>
      <c r="B21" s="323">
        <f t="shared" si="0"/>
        <v>1.1160875812498716</v>
      </c>
      <c r="C21" s="324">
        <f t="shared" si="1"/>
        <v>2.6189456149562487</v>
      </c>
      <c r="D21" s="322"/>
      <c r="E21" s="323"/>
      <c r="F21" s="325"/>
      <c r="G21" s="323"/>
      <c r="H21" s="325"/>
      <c r="I21" s="326"/>
      <c r="AA21" s="322">
        <f t="shared" si="2"/>
        <v>9500</v>
      </c>
      <c r="AB21" s="323">
        <f t="shared" si="9"/>
        <v>5.9367976407498873</v>
      </c>
      <c r="AC21" s="327">
        <f t="shared" si="10"/>
        <v>2.7638880025843786</v>
      </c>
      <c r="AD21" s="426">
        <f t="shared" si="11"/>
        <v>10.7180466087407</v>
      </c>
    </row>
    <row r="49" spans="1:32" ht="13.2" x14ac:dyDescent="0.25">
      <c r="X49" s="507"/>
      <c r="Y49" s="507"/>
    </row>
    <row r="50" spans="1:32" ht="13.2" thickBot="1" x14ac:dyDescent="0.3">
      <c r="X50" s="328"/>
      <c r="Y50" s="329"/>
    </row>
    <row r="51" spans="1:32" ht="13.2" thickBot="1" x14ac:dyDescent="0.3">
      <c r="A51" s="508" t="s">
        <v>164</v>
      </c>
      <c r="B51" s="509"/>
      <c r="C51" s="509"/>
      <c r="D51" s="509"/>
      <c r="E51" s="509"/>
      <c r="F51" s="509"/>
      <c r="G51" s="509"/>
      <c r="H51" s="509"/>
      <c r="I51" s="509"/>
      <c r="J51" s="509"/>
      <c r="K51" s="509"/>
      <c r="L51" s="510"/>
      <c r="M51" s="279"/>
      <c r="X51" s="328"/>
      <c r="Y51" s="329"/>
    </row>
    <row r="52" spans="1:32" x14ac:dyDescent="0.25">
      <c r="A52" s="330" t="s">
        <v>2</v>
      </c>
      <c r="B52" s="331" t="s">
        <v>3</v>
      </c>
      <c r="C52" s="331" t="s">
        <v>4</v>
      </c>
      <c r="D52" s="331" t="s">
        <v>5</v>
      </c>
      <c r="E52" s="331" t="s">
        <v>6</v>
      </c>
      <c r="F52" s="423" t="s">
        <v>7</v>
      </c>
      <c r="G52" s="330" t="s">
        <v>8</v>
      </c>
      <c r="H52" s="331" t="s">
        <v>9</v>
      </c>
      <c r="I52" s="331" t="s">
        <v>10</v>
      </c>
      <c r="J52" s="331" t="s">
        <v>11</v>
      </c>
      <c r="K52" s="331" t="s">
        <v>12</v>
      </c>
      <c r="L52" s="332" t="s">
        <v>13</v>
      </c>
      <c r="M52" s="333"/>
      <c r="X52" s="328"/>
      <c r="Y52" s="329"/>
    </row>
    <row r="53" spans="1:32" ht="15" customHeight="1" x14ac:dyDescent="0.25">
      <c r="A53" s="3">
        <v>65.12594</v>
      </c>
      <c r="B53" s="3">
        <v>-6.4605959999999999E-3</v>
      </c>
      <c r="C53" s="3">
        <v>2.4837789999999999E-6</v>
      </c>
      <c r="D53" s="3">
        <v>-4.3495859999999998E-10</v>
      </c>
      <c r="E53" s="3">
        <v>1.5854389999999998E-14</v>
      </c>
      <c r="F53" s="3">
        <v>2.5845449999999998E-19</v>
      </c>
      <c r="G53" s="3">
        <v>2.0384310000000001</v>
      </c>
      <c r="H53" s="3">
        <v>7.2420050000000005E-5</v>
      </c>
      <c r="I53" s="3">
        <v>2.3698820000000002E-8</v>
      </c>
      <c r="J53" s="3">
        <v>-2.1421489999999999E-12</v>
      </c>
      <c r="K53" s="3">
        <v>-7.6970040000000002E-17</v>
      </c>
      <c r="L53" s="3">
        <v>0</v>
      </c>
      <c r="M53" s="334"/>
      <c r="X53" s="328"/>
      <c r="Y53" s="329"/>
    </row>
    <row r="54" spans="1:32" x14ac:dyDescent="0.25">
      <c r="X54" s="335"/>
      <c r="Y54" s="329"/>
    </row>
    <row r="55" spans="1:32" ht="13.2" thickBot="1" x14ac:dyDescent="0.3"/>
    <row r="56" spans="1:32" ht="13.2" thickBot="1" x14ac:dyDescent="0.3">
      <c r="A56" s="511" t="s">
        <v>150</v>
      </c>
      <c r="B56" s="512"/>
      <c r="C56" s="336">
        <v>1</v>
      </c>
      <c r="D56" s="513" t="s">
        <v>149</v>
      </c>
      <c r="E56" s="514"/>
      <c r="F56" s="514"/>
      <c r="G56" s="336">
        <v>24</v>
      </c>
      <c r="H56" s="495" t="s">
        <v>198</v>
      </c>
      <c r="I56" s="500"/>
      <c r="J56" s="500"/>
      <c r="K56" s="497"/>
      <c r="L56" s="497"/>
      <c r="M56" s="497"/>
      <c r="N56" s="497"/>
      <c r="O56" s="497"/>
      <c r="P56" s="498"/>
      <c r="Q56" s="515" t="s">
        <v>76</v>
      </c>
      <c r="R56" s="516"/>
      <c r="S56" s="517"/>
      <c r="T56" s="495" t="s">
        <v>197</v>
      </c>
      <c r="U56" s="500"/>
      <c r="V56" s="500"/>
      <c r="W56" s="499"/>
      <c r="AA56" s="280"/>
      <c r="AB56" s="280"/>
      <c r="AC56" s="280"/>
      <c r="AD56" s="280"/>
    </row>
    <row r="57" spans="1:32" ht="13.2" thickBot="1" x14ac:dyDescent="0.3">
      <c r="A57" s="492" t="s">
        <v>148</v>
      </c>
      <c r="B57" s="493"/>
      <c r="C57" s="493"/>
      <c r="D57" s="493"/>
      <c r="E57" s="493"/>
      <c r="F57" s="493"/>
      <c r="G57" s="494"/>
      <c r="H57" s="495" t="s">
        <v>87</v>
      </c>
      <c r="I57" s="496"/>
      <c r="J57" s="496"/>
      <c r="K57" s="497"/>
      <c r="L57" s="497"/>
      <c r="M57" s="497"/>
      <c r="N57" s="497"/>
      <c r="O57" s="497"/>
      <c r="P57" s="498"/>
      <c r="Q57" s="495" t="s">
        <v>87</v>
      </c>
      <c r="R57" s="496"/>
      <c r="S57" s="499"/>
      <c r="T57" s="495" t="s">
        <v>87</v>
      </c>
      <c r="U57" s="496"/>
      <c r="V57" s="496"/>
      <c r="W57" s="499"/>
      <c r="X57" s="495" t="s">
        <v>77</v>
      </c>
      <c r="Y57" s="500"/>
      <c r="Z57" s="500"/>
      <c r="AA57" s="500"/>
      <c r="AB57" s="501"/>
      <c r="AC57" s="280"/>
      <c r="AD57" s="280"/>
    </row>
    <row r="58" spans="1:32" x14ac:dyDescent="0.25">
      <c r="A58" s="298" t="s">
        <v>139</v>
      </c>
      <c r="B58" s="275" t="s">
        <v>70</v>
      </c>
      <c r="C58" s="275" t="s">
        <v>142</v>
      </c>
      <c r="D58" s="275" t="s">
        <v>144</v>
      </c>
      <c r="E58" s="337" t="s">
        <v>151</v>
      </c>
      <c r="F58" s="337" t="s">
        <v>146</v>
      </c>
      <c r="G58" s="292" t="s">
        <v>147</v>
      </c>
      <c r="H58" s="274" t="s">
        <v>153</v>
      </c>
      <c r="I58" s="337" t="s">
        <v>154</v>
      </c>
      <c r="J58" s="292" t="s">
        <v>155</v>
      </c>
      <c r="K58" s="274" t="s">
        <v>156</v>
      </c>
      <c r="L58" s="337" t="s">
        <v>157</v>
      </c>
      <c r="M58" s="338" t="s">
        <v>158</v>
      </c>
      <c r="N58" s="274" t="s">
        <v>160</v>
      </c>
      <c r="O58" s="337" t="s">
        <v>161</v>
      </c>
      <c r="P58" s="292" t="s">
        <v>162</v>
      </c>
      <c r="Q58" s="274" t="s">
        <v>70</v>
      </c>
      <c r="R58" s="275" t="s">
        <v>72</v>
      </c>
      <c r="S58" s="276" t="s">
        <v>74</v>
      </c>
      <c r="T58" s="274" t="s">
        <v>70</v>
      </c>
      <c r="U58" s="275" t="s">
        <v>72</v>
      </c>
      <c r="V58" s="275" t="s">
        <v>74</v>
      </c>
      <c r="W58" s="276" t="s">
        <v>93</v>
      </c>
      <c r="X58" s="339" t="s">
        <v>81</v>
      </c>
      <c r="Y58" s="340" t="s">
        <v>79</v>
      </c>
      <c r="Z58" s="340" t="s">
        <v>82</v>
      </c>
      <c r="AA58" s="341" t="s">
        <v>83</v>
      </c>
      <c r="AB58" s="342" t="s">
        <v>91</v>
      </c>
      <c r="AC58" s="502" t="s">
        <v>94</v>
      </c>
      <c r="AD58" s="503"/>
      <c r="AE58" s="504"/>
    </row>
    <row r="59" spans="1:32" ht="13.2" thickBot="1" x14ac:dyDescent="0.3">
      <c r="A59" s="293" t="s">
        <v>141</v>
      </c>
      <c r="B59" s="294" t="s">
        <v>140</v>
      </c>
      <c r="C59" s="294" t="s">
        <v>143</v>
      </c>
      <c r="D59" s="294" t="s">
        <v>145</v>
      </c>
      <c r="E59" s="343" t="s">
        <v>89</v>
      </c>
      <c r="F59" s="343" t="s">
        <v>89</v>
      </c>
      <c r="G59" s="326" t="s">
        <v>152</v>
      </c>
      <c r="H59" s="293" t="s">
        <v>71</v>
      </c>
      <c r="I59" s="343" t="s">
        <v>71</v>
      </c>
      <c r="J59" s="326" t="s">
        <v>163</v>
      </c>
      <c r="K59" s="293" t="s">
        <v>73</v>
      </c>
      <c r="L59" s="343" t="s">
        <v>73</v>
      </c>
      <c r="M59" s="344" t="s">
        <v>163</v>
      </c>
      <c r="N59" s="293" t="s">
        <v>159</v>
      </c>
      <c r="O59" s="343" t="s">
        <v>159</v>
      </c>
      <c r="P59" s="326" t="s">
        <v>163</v>
      </c>
      <c r="Q59" s="293" t="s">
        <v>71</v>
      </c>
      <c r="R59" s="294" t="s">
        <v>73</v>
      </c>
      <c r="S59" s="295" t="s">
        <v>75</v>
      </c>
      <c r="T59" s="293" t="s">
        <v>71</v>
      </c>
      <c r="U59" s="294" t="s">
        <v>73</v>
      </c>
      <c r="V59" s="294" t="s">
        <v>75</v>
      </c>
      <c r="W59" s="295" t="s">
        <v>92</v>
      </c>
      <c r="X59" s="345" t="s">
        <v>73</v>
      </c>
      <c r="Y59" s="294" t="s">
        <v>73</v>
      </c>
      <c r="Z59" s="294" t="s">
        <v>75</v>
      </c>
      <c r="AA59" s="296" t="s">
        <v>75</v>
      </c>
      <c r="AB59" s="346" t="s">
        <v>92</v>
      </c>
      <c r="AC59" s="293" t="s">
        <v>72</v>
      </c>
      <c r="AD59" s="294" t="s">
        <v>74</v>
      </c>
      <c r="AE59" s="295" t="s">
        <v>93</v>
      </c>
    </row>
    <row r="60" spans="1:32" x14ac:dyDescent="0.25">
      <c r="A60" s="347">
        <v>0.97499999999999998</v>
      </c>
      <c r="B60" s="348">
        <v>3.21</v>
      </c>
      <c r="C60" s="349">
        <v>1498.9</v>
      </c>
      <c r="D60" s="348">
        <v>18.29</v>
      </c>
      <c r="E60" s="350">
        <f>ROUND(C60*D60/9549,3)</f>
        <v>2.871</v>
      </c>
      <c r="F60" s="351">
        <v>2.87</v>
      </c>
      <c r="G60" s="352" t="str">
        <f>IF(OR(E60-F60&gt;0.001*F60,E60-F60&lt;(-0.001)*F60),"ALARM","OK")</f>
        <v>OK</v>
      </c>
      <c r="H60" s="353">
        <f>ROUNDUP((B60*6.28981)*(3500/C60),1)</f>
        <v>47.2</v>
      </c>
      <c r="I60" s="354">
        <v>47.18</v>
      </c>
      <c r="J60" s="355" t="str">
        <f>IF(OR(H60-I60&gt;0.005*I60,H60-I60&lt;(-0.005)*I60),"ALARM","OK")</f>
        <v>OK</v>
      </c>
      <c r="K60" s="356">
        <f>ROUNDUP(((A60-0.13)*(1000/9.81)*$C$56*3.28/$G$56)*(3500/C60)^2,2)</f>
        <v>64.190000000000012</v>
      </c>
      <c r="L60" s="348">
        <f>L73/$G$56</f>
        <v>64.826666666666668</v>
      </c>
      <c r="M60" s="357" t="str">
        <f t="shared" ref="M60:M70" si="12">IF(OR(K60-L60&gt;0.005*L60,K60-L60&lt;(-0.005)*L60),"ALARM","OK")</f>
        <v>ALARM</v>
      </c>
      <c r="N60" s="358">
        <f>ROUNDUP((F60/(0.746*$G$56))*(3500/C60)^3,3)</f>
        <v>2.0409999999999999</v>
      </c>
      <c r="O60" s="348">
        <f>O73/$G$56</f>
        <v>2.0420000000000003</v>
      </c>
      <c r="P60" s="352" t="str">
        <f t="shared" ref="P60:P70" si="13">IF(OR(N60-O60&gt;0.005*O60,N60-O60&lt;(-0.005)*O60),"ALARM","OK")</f>
        <v>OK</v>
      </c>
      <c r="Q60" s="298">
        <v>0</v>
      </c>
      <c r="R60" s="299">
        <f>B9</f>
        <v>61.933599999999998</v>
      </c>
      <c r="S60" s="300">
        <f>C9</f>
        <v>1.6020000000000001</v>
      </c>
      <c r="T60" s="298">
        <v>0</v>
      </c>
      <c r="U60" s="299">
        <f>A53</f>
        <v>65.12594</v>
      </c>
      <c r="V60" s="299">
        <f>G53</f>
        <v>2.0384310000000001</v>
      </c>
      <c r="W60" s="359"/>
      <c r="X60" s="360"/>
      <c r="Y60" s="361"/>
      <c r="Z60" s="361"/>
      <c r="AA60" s="362"/>
      <c r="AB60" s="363"/>
      <c r="AC60" s="364"/>
      <c r="AD60" s="365"/>
      <c r="AE60" s="366"/>
    </row>
    <row r="61" spans="1:32" x14ac:dyDescent="0.25">
      <c r="A61" s="367">
        <v>0.83099999999999996</v>
      </c>
      <c r="B61" s="368">
        <v>286.8</v>
      </c>
      <c r="C61" s="369">
        <v>1499.1</v>
      </c>
      <c r="D61" s="368">
        <v>23.01</v>
      </c>
      <c r="E61" s="370">
        <f t="shared" ref="E61:E70" si="14">ROUND(C61*D61/9549,3)</f>
        <v>3.6120000000000001</v>
      </c>
      <c r="F61" s="371">
        <v>3.6120000000000001</v>
      </c>
      <c r="G61" s="372" t="str">
        <f t="shared" ref="G61:G70" si="15">IF(OR(E61-F61&gt;0.001*F61,E61-F61&lt;(-0.001)*F61),"ALARM","OK")</f>
        <v>OK</v>
      </c>
      <c r="H61" s="373">
        <f t="shared" ref="H61:H70" si="16">ROUNDUP((B61*6.28981)*(3500/C61),1)</f>
        <v>4211.7000000000007</v>
      </c>
      <c r="I61" s="368">
        <v>4211.63</v>
      </c>
      <c r="J61" s="372" t="str">
        <f t="shared" ref="J61:J70" si="17">IF(OR(H61-I61&gt;0.005*I61,H61-I61&lt;(-0.005)*I61),"ALARM","OK")</f>
        <v>OK</v>
      </c>
      <c r="K61" s="356">
        <f t="shared" ref="K61:K70" si="18">ROUNDUP(((A61-0.13)*(1000/9.81)*$C$56*3.28/$G$56)*(3500/C61)^2,2)</f>
        <v>53.239999999999995</v>
      </c>
      <c r="L61" s="348">
        <f t="shared" ref="L61:L67" si="19">L74/$G$56</f>
        <v>54.774166666666666</v>
      </c>
      <c r="M61" s="374" t="str">
        <f t="shared" si="12"/>
        <v>ALARM</v>
      </c>
      <c r="N61" s="375">
        <f t="shared" ref="N61:N70" si="20">ROUNDUP((F61/(0.746*$G$56))*(3500/C61)^3,3)</f>
        <v>2.5680000000000001</v>
      </c>
      <c r="O61" s="348">
        <f t="shared" ref="O61:O67" si="21">O74/$G$56</f>
        <v>2.5684583333333335</v>
      </c>
      <c r="P61" s="372" t="str">
        <f t="shared" si="13"/>
        <v>OK</v>
      </c>
      <c r="Q61" s="307">
        <f>(Q60+Q62)/2</f>
        <v>2320</v>
      </c>
      <c r="R61" s="308">
        <f t="shared" ref="R61:R72" si="22">$O$3+$P$3*Q61+$Q$3*Q61^2+$R$3*Q61^3+$S$3*Q61^4+$T$3*Q61^5</f>
        <v>57.217090727885541</v>
      </c>
      <c r="S61" s="309">
        <f t="shared" ref="S61:S72" si="23">$U$3+$V$3*Q61+$W$3*Q61^2+$X$3*Q61^3+$Y$3*Q61^4+$Z$3*Q61^5</f>
        <v>2.0460611284515422</v>
      </c>
      <c r="T61" s="307">
        <f>(T60+T62)/2</f>
        <v>2320</v>
      </c>
      <c r="U61" s="308">
        <f t="shared" ref="U61:U72" si="24">$A$53+$B$53*T61+$C$53*T61^2+$D$53*T61^3+$E$53*T61^4+$F$53*T61^5</f>
        <v>58.551324547454065</v>
      </c>
      <c r="V61" s="308">
        <f t="shared" ref="V61:V72" si="25">$G$53+$H$53*T61+$I$53*T61^2+$J$53*T61^3+$K$53*T61^4+$L$53*T61^5</f>
        <v>2.3050228305805316</v>
      </c>
      <c r="W61" s="376"/>
      <c r="X61" s="377"/>
      <c r="Y61" s="378"/>
      <c r="Z61" s="378"/>
      <c r="AA61" s="379"/>
      <c r="AB61" s="334"/>
      <c r="AC61" s="380"/>
      <c r="AD61" s="381"/>
      <c r="AE61" s="382"/>
    </row>
    <row r="62" spans="1:32" x14ac:dyDescent="0.25">
      <c r="A62" s="367">
        <v>0.79400000000000004</v>
      </c>
      <c r="B62" s="368">
        <v>329.12</v>
      </c>
      <c r="C62" s="369">
        <v>1499.1</v>
      </c>
      <c r="D62" s="368">
        <v>24.02</v>
      </c>
      <c r="E62" s="370">
        <f t="shared" si="14"/>
        <v>3.7709999999999999</v>
      </c>
      <c r="F62" s="371">
        <v>3.77</v>
      </c>
      <c r="G62" s="372" t="str">
        <f t="shared" si="15"/>
        <v>OK</v>
      </c>
      <c r="H62" s="383">
        <f t="shared" si="16"/>
        <v>4833.2000000000007</v>
      </c>
      <c r="I62" s="368">
        <v>4833.17</v>
      </c>
      <c r="J62" s="372" t="str">
        <f t="shared" si="17"/>
        <v>OK</v>
      </c>
      <c r="K62" s="356">
        <f t="shared" si="18"/>
        <v>50.43</v>
      </c>
      <c r="L62" s="348">
        <f t="shared" si="19"/>
        <v>52.308333333333337</v>
      </c>
      <c r="M62" s="374" t="str">
        <f t="shared" si="12"/>
        <v>ALARM</v>
      </c>
      <c r="N62" s="384">
        <f t="shared" si="20"/>
        <v>2.6799999999999997</v>
      </c>
      <c r="O62" s="348">
        <f t="shared" si="21"/>
        <v>2.6807499999999997</v>
      </c>
      <c r="P62" s="372" t="str">
        <f t="shared" si="13"/>
        <v>OK</v>
      </c>
      <c r="Q62" s="313">
        <f>$C$3</f>
        <v>4640</v>
      </c>
      <c r="R62" s="314">
        <f t="shared" si="22"/>
        <v>51.157288376179764</v>
      </c>
      <c r="S62" s="315">
        <f t="shared" si="23"/>
        <v>2.5740464989297713</v>
      </c>
      <c r="T62" s="313">
        <f>$C$3</f>
        <v>4640</v>
      </c>
      <c r="U62" s="314">
        <f t="shared" si="24"/>
        <v>53.077090143530789</v>
      </c>
      <c r="V62" s="314">
        <f t="shared" si="25"/>
        <v>2.6350137156247619</v>
      </c>
      <c r="W62" s="385">
        <f t="shared" ref="W62:W70" si="26">(T62*U62*100)/(135788*V62)</f>
        <v>68.830482530615001</v>
      </c>
      <c r="X62" s="386">
        <f t="shared" ref="X62:X70" si="27">E11</f>
        <v>54.414279370244778</v>
      </c>
      <c r="Y62" s="387">
        <f t="shared" ref="Y62:AA70" si="28">G11</f>
        <v>47.880699300833861</v>
      </c>
      <c r="Z62" s="387">
        <f t="shared" si="28"/>
        <v>2.3681227790153896</v>
      </c>
      <c r="AA62" s="387">
        <f t="shared" si="28"/>
        <v>2.7799702188441531</v>
      </c>
      <c r="AB62" s="334"/>
      <c r="AC62" s="388" t="str">
        <f t="shared" ref="AC62:AC70" si="29">IF(OR(U62&gt;X62,U62&lt;Y62),"FAIL","PASS")</f>
        <v>PASS</v>
      </c>
      <c r="AD62" s="389" t="str">
        <f t="shared" ref="AD62:AD70" si="30">IF(OR(V62&gt;AA62,V62&lt;Z62),"FAIL","PASS")</f>
        <v>PASS</v>
      </c>
      <c r="AE62" s="390"/>
      <c r="AF62" s="391" t="s">
        <v>95</v>
      </c>
    </row>
    <row r="63" spans="1:32" x14ac:dyDescent="0.25">
      <c r="A63" s="367">
        <v>0.74299999999999999</v>
      </c>
      <c r="B63" s="368">
        <v>367.12</v>
      </c>
      <c r="C63" s="369">
        <v>1498.6</v>
      </c>
      <c r="D63" s="368">
        <v>24.28</v>
      </c>
      <c r="E63" s="370">
        <f t="shared" si="14"/>
        <v>3.81</v>
      </c>
      <c r="F63" s="371">
        <v>3.8090000000000002</v>
      </c>
      <c r="G63" s="372" t="str">
        <f t="shared" si="15"/>
        <v>OK</v>
      </c>
      <c r="H63" s="373">
        <f t="shared" si="16"/>
        <v>5393</v>
      </c>
      <c r="I63" s="368">
        <v>5392.96</v>
      </c>
      <c r="J63" s="372" t="str">
        <f t="shared" si="17"/>
        <v>OK</v>
      </c>
      <c r="K63" s="356">
        <f t="shared" si="18"/>
        <v>46.589999999999996</v>
      </c>
      <c r="L63" s="348">
        <f t="shared" si="19"/>
        <v>48.64041666666666</v>
      </c>
      <c r="M63" s="374" t="str">
        <f t="shared" si="12"/>
        <v>ALARM</v>
      </c>
      <c r="N63" s="392">
        <f t="shared" si="20"/>
        <v>2.7109999999999999</v>
      </c>
      <c r="O63" s="348">
        <f t="shared" si="21"/>
        <v>2.7115416666666667</v>
      </c>
      <c r="P63" s="372" t="str">
        <f t="shared" si="13"/>
        <v>OK</v>
      </c>
      <c r="Q63" s="307">
        <f>(Q62+Q64)/2</f>
        <v>4930</v>
      </c>
      <c r="R63" s="308">
        <f t="shared" si="22"/>
        <v>50.194557313093469</v>
      </c>
      <c r="S63" s="309">
        <f t="shared" si="23"/>
        <v>2.62241970273555</v>
      </c>
      <c r="T63" s="307">
        <f>(T62+T64)/2</f>
        <v>4930</v>
      </c>
      <c r="U63" s="308">
        <f t="shared" si="24"/>
        <v>51.643418433665367</v>
      </c>
      <c r="V63" s="308">
        <f t="shared" si="25"/>
        <v>2.6693118703606302</v>
      </c>
      <c r="W63" s="393">
        <f t="shared" si="26"/>
        <v>70.242699177440599</v>
      </c>
      <c r="X63" s="394">
        <f t="shared" si="27"/>
        <v>53.574237929044301</v>
      </c>
      <c r="Y63" s="395">
        <f t="shared" si="28"/>
        <v>46.767844656776106</v>
      </c>
      <c r="Z63" s="395">
        <f t="shared" si="28"/>
        <v>2.4126261265167059</v>
      </c>
      <c r="AA63" s="395">
        <f t="shared" si="28"/>
        <v>2.8322132789543941</v>
      </c>
      <c r="AB63" s="334"/>
      <c r="AC63" s="396" t="str">
        <f t="shared" si="29"/>
        <v>PASS</v>
      </c>
      <c r="AD63" s="397" t="str">
        <f t="shared" si="30"/>
        <v>PASS</v>
      </c>
      <c r="AE63" s="390"/>
    </row>
    <row r="64" spans="1:32" x14ac:dyDescent="0.25">
      <c r="A64" s="367">
        <v>0.67900000000000005</v>
      </c>
      <c r="B64" s="368">
        <v>413.87</v>
      </c>
      <c r="C64" s="369">
        <v>1498.4</v>
      </c>
      <c r="D64" s="368">
        <v>24.71</v>
      </c>
      <c r="E64" s="370">
        <f t="shared" si="14"/>
        <v>3.8769999999999998</v>
      </c>
      <c r="F64" s="371">
        <v>3.8759999999999999</v>
      </c>
      <c r="G64" s="372" t="str">
        <f t="shared" si="15"/>
        <v>OK</v>
      </c>
      <c r="H64" s="373">
        <f t="shared" si="16"/>
        <v>6080.6</v>
      </c>
      <c r="I64" s="368">
        <v>6080.62</v>
      </c>
      <c r="J64" s="372" t="str">
        <f t="shared" si="17"/>
        <v>OK</v>
      </c>
      <c r="K64" s="356">
        <f t="shared" si="18"/>
        <v>41.73</v>
      </c>
      <c r="L64" s="348">
        <f t="shared" si="19"/>
        <v>43.911249999999995</v>
      </c>
      <c r="M64" s="374" t="str">
        <f t="shared" si="12"/>
        <v>ALARM</v>
      </c>
      <c r="N64" s="392">
        <f t="shared" si="20"/>
        <v>2.76</v>
      </c>
      <c r="O64" s="348">
        <f t="shared" si="21"/>
        <v>2.7603333333333335</v>
      </c>
      <c r="P64" s="372" t="str">
        <f t="shared" si="13"/>
        <v>OK</v>
      </c>
      <c r="Q64" s="307">
        <f>(Q62+Q66)/2</f>
        <v>5220</v>
      </c>
      <c r="R64" s="308">
        <f t="shared" si="22"/>
        <v>49.042639338557279</v>
      </c>
      <c r="S64" s="309">
        <f t="shared" si="23"/>
        <v>2.6657939287166483</v>
      </c>
      <c r="T64" s="307">
        <f>(T62+T66)/2</f>
        <v>5220</v>
      </c>
      <c r="U64" s="308">
        <f t="shared" si="24"/>
        <v>49.986769866687723</v>
      </c>
      <c r="V64" s="308">
        <f t="shared" si="25"/>
        <v>2.7003781408743928</v>
      </c>
      <c r="W64" s="393">
        <f t="shared" si="26"/>
        <v>71.160599986411043</v>
      </c>
      <c r="X64" s="394">
        <f t="shared" si="27"/>
        <v>52.593083739684175</v>
      </c>
      <c r="Y64" s="395">
        <f t="shared" si="28"/>
        <v>45.41619113039885</v>
      </c>
      <c r="Z64" s="395">
        <f t="shared" si="28"/>
        <v>2.4525304144193165</v>
      </c>
      <c r="AA64" s="395">
        <f t="shared" si="28"/>
        <v>2.8790574430139806</v>
      </c>
      <c r="AB64" s="334"/>
      <c r="AC64" s="396" t="str">
        <f t="shared" si="29"/>
        <v>PASS</v>
      </c>
      <c r="AD64" s="397" t="str">
        <f t="shared" si="30"/>
        <v>PASS</v>
      </c>
      <c r="AE64" s="390"/>
    </row>
    <row r="65" spans="1:32" x14ac:dyDescent="0.25">
      <c r="A65" s="367">
        <v>0.60099999999999998</v>
      </c>
      <c r="B65" s="368">
        <v>453.95</v>
      </c>
      <c r="C65" s="369">
        <v>1498.8</v>
      </c>
      <c r="D65" s="368">
        <v>24.92</v>
      </c>
      <c r="E65" s="370">
        <f t="shared" si="14"/>
        <v>3.911</v>
      </c>
      <c r="F65" s="371">
        <v>3.91</v>
      </c>
      <c r="G65" s="372" t="str">
        <f t="shared" si="15"/>
        <v>OK</v>
      </c>
      <c r="H65" s="373">
        <f t="shared" si="16"/>
        <v>6667.7000000000007</v>
      </c>
      <c r="I65" s="368">
        <v>6667.58</v>
      </c>
      <c r="J65" s="372" t="str">
        <f t="shared" si="17"/>
        <v>OK</v>
      </c>
      <c r="K65" s="356">
        <f t="shared" si="18"/>
        <v>35.79</v>
      </c>
      <c r="L65" s="348">
        <f t="shared" si="19"/>
        <v>38.187083333333334</v>
      </c>
      <c r="M65" s="374" t="str">
        <f t="shared" si="12"/>
        <v>ALARM</v>
      </c>
      <c r="N65" s="392">
        <f t="shared" si="20"/>
        <v>2.7809999999999997</v>
      </c>
      <c r="O65" s="348">
        <f t="shared" si="21"/>
        <v>2.7822916666666671</v>
      </c>
      <c r="P65" s="372" t="str">
        <f t="shared" si="13"/>
        <v>OK</v>
      </c>
      <c r="Q65" s="307">
        <f>(Q64+Q66)/2</f>
        <v>5510</v>
      </c>
      <c r="R65" s="308">
        <f t="shared" si="22"/>
        <v>47.65608071143015</v>
      </c>
      <c r="S65" s="309">
        <f t="shared" si="23"/>
        <v>2.7040396912186</v>
      </c>
      <c r="T65" s="307">
        <f>(T64+T66)/2</f>
        <v>5510</v>
      </c>
      <c r="U65" s="308">
        <f t="shared" si="24"/>
        <v>48.100340852360738</v>
      </c>
      <c r="V65" s="308">
        <f t="shared" si="25"/>
        <v>2.7276704122574649</v>
      </c>
      <c r="W65" s="393">
        <f t="shared" si="26"/>
        <v>71.556068021160911</v>
      </c>
      <c r="X65" s="394">
        <f t="shared" si="27"/>
        <v>51.428210614853448</v>
      </c>
      <c r="Y65" s="395">
        <f t="shared" si="28"/>
        <v>43.779528202589148</v>
      </c>
      <c r="Z65" s="395">
        <f t="shared" si="28"/>
        <v>2.4877165159211123</v>
      </c>
      <c r="AA65" s="395">
        <f t="shared" si="28"/>
        <v>2.9203628665160881</v>
      </c>
      <c r="AB65" s="334"/>
      <c r="AC65" s="396" t="str">
        <f t="shared" si="29"/>
        <v>PASS</v>
      </c>
      <c r="AD65" s="397" t="str">
        <f t="shared" si="30"/>
        <v>PASS</v>
      </c>
      <c r="AE65" s="390"/>
    </row>
    <row r="66" spans="1:32" x14ac:dyDescent="0.25">
      <c r="A66" s="367">
        <v>0.51600000000000001</v>
      </c>
      <c r="B66" s="368">
        <v>493.25</v>
      </c>
      <c r="C66" s="369">
        <v>1498.1</v>
      </c>
      <c r="D66" s="368">
        <v>24.95</v>
      </c>
      <c r="E66" s="370">
        <f t="shared" si="14"/>
        <v>3.9140000000000001</v>
      </c>
      <c r="F66" s="371">
        <v>3.9129999999999998</v>
      </c>
      <c r="G66" s="372" t="str">
        <f t="shared" si="15"/>
        <v>OK</v>
      </c>
      <c r="H66" s="383">
        <f t="shared" si="16"/>
        <v>7248.3</v>
      </c>
      <c r="I66" s="368">
        <v>7248.27</v>
      </c>
      <c r="J66" s="372" t="str">
        <f t="shared" si="17"/>
        <v>OK</v>
      </c>
      <c r="K66" s="356">
        <f t="shared" si="18"/>
        <v>29.360000000000003</v>
      </c>
      <c r="L66" s="348">
        <f t="shared" si="19"/>
        <v>32.101666666666667</v>
      </c>
      <c r="M66" s="374" t="str">
        <f t="shared" si="12"/>
        <v>ALARM</v>
      </c>
      <c r="N66" s="384">
        <f t="shared" si="20"/>
        <v>2.7879999999999998</v>
      </c>
      <c r="O66" s="348">
        <f t="shared" si="21"/>
        <v>2.7882500000000001</v>
      </c>
      <c r="P66" s="372" t="str">
        <f t="shared" si="13"/>
        <v>OK</v>
      </c>
      <c r="Q66" s="313">
        <f>$F$3</f>
        <v>5800</v>
      </c>
      <c r="R66" s="314">
        <f t="shared" si="22"/>
        <v>45.993450185472014</v>
      </c>
      <c r="S66" s="315">
        <f t="shared" si="23"/>
        <v>2.737059408709952</v>
      </c>
      <c r="T66" s="313">
        <f>$F$3</f>
        <v>5800</v>
      </c>
      <c r="U66" s="314">
        <f t="shared" si="24"/>
        <v>45.981164101494556</v>
      </c>
      <c r="V66" s="314">
        <f t="shared" si="25"/>
        <v>2.7506335041340164</v>
      </c>
      <c r="W66" s="385">
        <f t="shared" si="26"/>
        <v>71.40256862593364</v>
      </c>
      <c r="X66" s="386">
        <f t="shared" si="27"/>
        <v>50.03888474700166</v>
      </c>
      <c r="Y66" s="387">
        <f t="shared" si="28"/>
        <v>41.81840707164806</v>
      </c>
      <c r="Z66" s="387">
        <f t="shared" si="28"/>
        <v>2.5180946560131559</v>
      </c>
      <c r="AA66" s="387">
        <f t="shared" si="28"/>
        <v>2.9560241614067482</v>
      </c>
      <c r="AB66" s="398">
        <f>0.9*I3</f>
        <v>64.605614482793527</v>
      </c>
      <c r="AC66" s="388" t="str">
        <f t="shared" si="29"/>
        <v>PASS</v>
      </c>
      <c r="AD66" s="389" t="str">
        <f t="shared" si="30"/>
        <v>PASS</v>
      </c>
      <c r="AE66" s="399" t="str">
        <f>IF(W66&lt;AB66,"FAIL","PASS")</f>
        <v>PASS</v>
      </c>
      <c r="AF66" s="391" t="s">
        <v>96</v>
      </c>
    </row>
    <row r="67" spans="1:32" x14ac:dyDescent="0.25">
      <c r="A67" s="367">
        <v>7.2999999999999995E-2</v>
      </c>
      <c r="B67" s="368">
        <v>630.20000000000005</v>
      </c>
      <c r="C67" s="369">
        <v>1497.8</v>
      </c>
      <c r="D67" s="368">
        <v>22.12</v>
      </c>
      <c r="E67" s="370">
        <f t="shared" si="14"/>
        <v>3.47</v>
      </c>
      <c r="F67" s="371">
        <v>3.4689999999999999</v>
      </c>
      <c r="G67" s="372" t="str">
        <f t="shared" si="15"/>
        <v>OK</v>
      </c>
      <c r="H67" s="373">
        <f t="shared" si="16"/>
        <v>9262.6</v>
      </c>
      <c r="I67" s="368">
        <v>9262.5400000000009</v>
      </c>
      <c r="J67" s="372" t="str">
        <f t="shared" si="17"/>
        <v>OK</v>
      </c>
      <c r="K67" s="356">
        <f t="shared" si="18"/>
        <v>-4.34</v>
      </c>
      <c r="L67" s="348">
        <f t="shared" si="19"/>
        <v>7.0491666666666672</v>
      </c>
      <c r="M67" s="374" t="str">
        <f t="shared" si="12"/>
        <v>ALARM</v>
      </c>
      <c r="N67" s="392">
        <f t="shared" si="20"/>
        <v>2.4729999999999999</v>
      </c>
      <c r="O67" s="348">
        <f t="shared" si="21"/>
        <v>2.4729583333333331</v>
      </c>
      <c r="P67" s="372" t="str">
        <f t="shared" si="13"/>
        <v>OK</v>
      </c>
      <c r="Q67" s="307">
        <f>(Q66+Q68)/2</f>
        <v>6090</v>
      </c>
      <c r="R67" s="308">
        <f t="shared" si="22"/>
        <v>44.019375864892694</v>
      </c>
      <c r="S67" s="309">
        <f t="shared" si="23"/>
        <v>2.7647711199154346</v>
      </c>
      <c r="T67" s="307">
        <f>(T66+T68)/2</f>
        <v>6090</v>
      </c>
      <c r="U67" s="308">
        <f t="shared" si="24"/>
        <v>43.630172240331696</v>
      </c>
      <c r="V67" s="308">
        <f t="shared" si="25"/>
        <v>2.7686991706609709</v>
      </c>
      <c r="W67" s="393">
        <f t="shared" si="26"/>
        <v>70.675201891503221</v>
      </c>
      <c r="X67" s="394">
        <f t="shared" si="27"/>
        <v>48.387899592335373</v>
      </c>
      <c r="Y67" s="395">
        <f t="shared" si="28"/>
        <v>39.502610274414593</v>
      </c>
      <c r="Z67" s="395">
        <f t="shared" si="28"/>
        <v>2.5435894303222</v>
      </c>
      <c r="AA67" s="395">
        <f t="shared" si="28"/>
        <v>2.9859528095086696</v>
      </c>
      <c r="AB67" s="334"/>
      <c r="AC67" s="396" t="str">
        <f t="shared" si="29"/>
        <v>PASS</v>
      </c>
      <c r="AD67" s="397" t="str">
        <f t="shared" si="30"/>
        <v>PASS</v>
      </c>
      <c r="AE67" s="390"/>
    </row>
    <row r="68" spans="1:32" x14ac:dyDescent="0.25">
      <c r="A68" s="367"/>
      <c r="B68" s="368"/>
      <c r="C68" s="369"/>
      <c r="D68" s="368"/>
      <c r="E68" s="370">
        <f t="shared" si="14"/>
        <v>0</v>
      </c>
      <c r="F68" s="371"/>
      <c r="G68" s="372" t="str">
        <f t="shared" si="15"/>
        <v>OK</v>
      </c>
      <c r="H68" s="373" t="e">
        <f t="shared" si="16"/>
        <v>#DIV/0!</v>
      </c>
      <c r="I68" s="368"/>
      <c r="J68" s="372" t="e">
        <f t="shared" si="17"/>
        <v>#DIV/0!</v>
      </c>
      <c r="K68" s="356" t="e">
        <f t="shared" si="18"/>
        <v>#DIV/0!</v>
      </c>
      <c r="L68" s="368"/>
      <c r="M68" s="374" t="e">
        <f t="shared" si="12"/>
        <v>#DIV/0!</v>
      </c>
      <c r="N68" s="392" t="e">
        <f t="shared" si="20"/>
        <v>#DIV/0!</v>
      </c>
      <c r="O68" s="371"/>
      <c r="P68" s="372" t="e">
        <f t="shared" si="13"/>
        <v>#DIV/0!</v>
      </c>
      <c r="Q68" s="307">
        <f>(Q66+Q70)/2</f>
        <v>6380</v>
      </c>
      <c r="R68" s="308">
        <f t="shared" si="22"/>
        <v>41.70658205990145</v>
      </c>
      <c r="S68" s="309">
        <f t="shared" si="23"/>
        <v>2.7870921999491363</v>
      </c>
      <c r="T68" s="307">
        <f>(T66+T70)/2</f>
        <v>6380</v>
      </c>
      <c r="U68" s="308">
        <f t="shared" si="24"/>
        <v>41.052261424932091</v>
      </c>
      <c r="V68" s="308">
        <f t="shared" si="25"/>
        <v>2.7812861005280056</v>
      </c>
      <c r="W68" s="393">
        <f t="shared" si="26"/>
        <v>69.350677393156019</v>
      </c>
      <c r="X68" s="394">
        <f t="shared" si="27"/>
        <v>46.44323075481423</v>
      </c>
      <c r="Y68" s="395">
        <f t="shared" si="28"/>
        <v>36.813621307389162</v>
      </c>
      <c r="Z68" s="395">
        <f t="shared" si="28"/>
        <v>2.5641248239532053</v>
      </c>
      <c r="AA68" s="395">
        <f t="shared" si="28"/>
        <v>3.0100595759450672</v>
      </c>
      <c r="AB68" s="334"/>
      <c r="AC68" s="396" t="str">
        <f t="shared" si="29"/>
        <v>PASS</v>
      </c>
      <c r="AD68" s="397" t="str">
        <f t="shared" si="30"/>
        <v>PASS</v>
      </c>
      <c r="AE68" s="390"/>
    </row>
    <row r="69" spans="1:32" x14ac:dyDescent="0.25">
      <c r="A69" s="367"/>
      <c r="B69" s="368"/>
      <c r="C69" s="369"/>
      <c r="D69" s="368"/>
      <c r="E69" s="370">
        <f t="shared" si="14"/>
        <v>0</v>
      </c>
      <c r="F69" s="371"/>
      <c r="G69" s="372" t="str">
        <f t="shared" si="15"/>
        <v>OK</v>
      </c>
      <c r="H69" s="373" t="e">
        <f t="shared" si="16"/>
        <v>#DIV/0!</v>
      </c>
      <c r="I69" s="368"/>
      <c r="J69" s="372" t="e">
        <f t="shared" si="17"/>
        <v>#DIV/0!</v>
      </c>
      <c r="K69" s="356" t="e">
        <f t="shared" si="18"/>
        <v>#DIV/0!</v>
      </c>
      <c r="L69" s="368"/>
      <c r="M69" s="374" t="e">
        <f t="shared" si="12"/>
        <v>#DIV/0!</v>
      </c>
      <c r="N69" s="392" t="e">
        <f t="shared" si="20"/>
        <v>#DIV/0!</v>
      </c>
      <c r="O69" s="371"/>
      <c r="P69" s="372" t="e">
        <f t="shared" si="13"/>
        <v>#DIV/0!</v>
      </c>
      <c r="Q69" s="307">
        <f>(Q68+Q70)/2</f>
        <v>6670</v>
      </c>
      <c r="R69" s="308">
        <f t="shared" si="22"/>
        <v>39.037926142255998</v>
      </c>
      <c r="S69" s="309">
        <f t="shared" si="23"/>
        <v>2.8039230764476795</v>
      </c>
      <c r="T69" s="307">
        <f>(T68+T70)/2</f>
        <v>6670</v>
      </c>
      <c r="U69" s="308">
        <f t="shared" si="24"/>
        <v>38.256354955558329</v>
      </c>
      <c r="V69" s="308">
        <f t="shared" si="25"/>
        <v>2.7877999169575505</v>
      </c>
      <c r="W69" s="393">
        <f t="shared" si="26"/>
        <v>67.407222067455322</v>
      </c>
      <c r="X69" s="394">
        <f t="shared" si="27"/>
        <v>44.179690870147162</v>
      </c>
      <c r="Y69" s="395">
        <f t="shared" si="28"/>
        <v>33.747094247857824</v>
      </c>
      <c r="Z69" s="395">
        <f t="shared" si="28"/>
        <v>2.5796092303318652</v>
      </c>
      <c r="AA69" s="395">
        <f t="shared" si="28"/>
        <v>3.0282369225634942</v>
      </c>
      <c r="AB69" s="334"/>
      <c r="AC69" s="396" t="str">
        <f t="shared" si="29"/>
        <v>PASS</v>
      </c>
      <c r="AD69" s="397" t="str">
        <f t="shared" si="30"/>
        <v>PASS</v>
      </c>
      <c r="AE69" s="390"/>
    </row>
    <row r="70" spans="1:32" x14ac:dyDescent="0.25">
      <c r="A70" s="367"/>
      <c r="B70" s="368"/>
      <c r="C70" s="369"/>
      <c r="D70" s="368"/>
      <c r="E70" s="370">
        <f t="shared" si="14"/>
        <v>0</v>
      </c>
      <c r="F70" s="371"/>
      <c r="G70" s="372" t="str">
        <f t="shared" si="15"/>
        <v>OK</v>
      </c>
      <c r="H70" s="383" t="e">
        <f t="shared" si="16"/>
        <v>#DIV/0!</v>
      </c>
      <c r="I70" s="368"/>
      <c r="J70" s="372" t="e">
        <f t="shared" si="17"/>
        <v>#DIV/0!</v>
      </c>
      <c r="K70" s="356" t="e">
        <f t="shared" si="18"/>
        <v>#DIV/0!</v>
      </c>
      <c r="L70" s="368"/>
      <c r="M70" s="374" t="e">
        <f t="shared" si="12"/>
        <v>#DIV/0!</v>
      </c>
      <c r="N70" s="384" t="e">
        <f t="shared" si="20"/>
        <v>#DIV/0!</v>
      </c>
      <c r="O70" s="371"/>
      <c r="P70" s="372" t="e">
        <f t="shared" si="13"/>
        <v>#DIV/0!</v>
      </c>
      <c r="Q70" s="313">
        <f>$J$3</f>
        <v>6960</v>
      </c>
      <c r="R70" s="314">
        <f t="shared" si="22"/>
        <v>36.008435400811493</v>
      </c>
      <c r="S70" s="315">
        <f t="shared" si="23"/>
        <v>2.8151309457033857</v>
      </c>
      <c r="T70" s="313">
        <f>$J$3</f>
        <v>6960</v>
      </c>
      <c r="U70" s="314">
        <f t="shared" si="24"/>
        <v>35.255466891060706</v>
      </c>
      <c r="V70" s="314">
        <f t="shared" si="25"/>
        <v>2.7876331777047887</v>
      </c>
      <c r="W70" s="385">
        <f t="shared" si="26"/>
        <v>64.824428043367519</v>
      </c>
      <c r="X70" s="386">
        <f t="shared" si="27"/>
        <v>41.580584489788841</v>
      </c>
      <c r="Y70" s="387">
        <f t="shared" si="28"/>
        <v>30.315323375015652</v>
      </c>
      <c r="Z70" s="387">
        <f t="shared" si="28"/>
        <v>2.5899204700471148</v>
      </c>
      <c r="AA70" s="387">
        <f t="shared" si="28"/>
        <v>3.0403414213596567</v>
      </c>
      <c r="AB70" s="334"/>
      <c r="AC70" s="388" t="str">
        <f t="shared" si="29"/>
        <v>PASS</v>
      </c>
      <c r="AD70" s="389" t="str">
        <f t="shared" si="30"/>
        <v>PASS</v>
      </c>
      <c r="AE70" s="390"/>
      <c r="AF70" s="400" t="s">
        <v>97</v>
      </c>
    </row>
    <row r="71" spans="1:32" x14ac:dyDescent="0.25">
      <c r="A71" s="367"/>
      <c r="B71" s="368"/>
      <c r="C71" s="369"/>
      <c r="D71" s="368"/>
      <c r="E71" s="310"/>
      <c r="F71" s="371"/>
      <c r="G71" s="311"/>
      <c r="H71" s="401"/>
      <c r="I71" s="368"/>
      <c r="J71" s="311"/>
      <c r="K71" s="402"/>
      <c r="L71" s="368"/>
      <c r="M71" s="403"/>
      <c r="N71" s="404"/>
      <c r="O71" s="371"/>
      <c r="P71" s="311"/>
      <c r="Q71" s="307">
        <f>(Q70+Q72)/2</f>
        <v>8230</v>
      </c>
      <c r="R71" s="308">
        <f t="shared" si="22"/>
        <v>19.086657382596513</v>
      </c>
      <c r="S71" s="309">
        <f t="shared" si="23"/>
        <v>2.7918583775923769</v>
      </c>
      <c r="T71" s="307">
        <f>(T70+T72)/2</f>
        <v>8230</v>
      </c>
      <c r="U71" s="308">
        <f t="shared" si="24"/>
        <v>20.219113882470914</v>
      </c>
      <c r="V71" s="308">
        <f t="shared" si="25"/>
        <v>2.6923955196375897</v>
      </c>
      <c r="W71" s="376"/>
      <c r="X71" s="377"/>
      <c r="Y71" s="378"/>
      <c r="Z71" s="378"/>
      <c r="AA71" s="379"/>
      <c r="AB71" s="334"/>
      <c r="AC71" s="380"/>
      <c r="AD71" s="381"/>
      <c r="AE71" s="382"/>
    </row>
    <row r="72" spans="1:32" ht="13.2" thickBot="1" x14ac:dyDescent="0.3">
      <c r="A72" s="405"/>
      <c r="B72" s="406"/>
      <c r="C72" s="407"/>
      <c r="D72" s="406"/>
      <c r="E72" s="325"/>
      <c r="F72" s="408"/>
      <c r="G72" s="326"/>
      <c r="H72" s="409"/>
      <c r="I72" s="421"/>
      <c r="J72" s="326"/>
      <c r="K72" s="410"/>
      <c r="L72" s="406"/>
      <c r="M72" s="344"/>
      <c r="N72" s="411"/>
      <c r="O72" s="408"/>
      <c r="P72" s="326"/>
      <c r="Q72" s="322">
        <f>$N$3</f>
        <v>9500</v>
      </c>
      <c r="R72" s="323">
        <f t="shared" si="22"/>
        <v>1.1160875812498716</v>
      </c>
      <c r="S72" s="324">
        <f t="shared" si="23"/>
        <v>2.6189456149562487</v>
      </c>
      <c r="T72" s="322">
        <f>$N$3</f>
        <v>9500</v>
      </c>
      <c r="U72" s="323">
        <f t="shared" si="24"/>
        <v>4.1224170554843553</v>
      </c>
      <c r="V72" s="323">
        <f t="shared" si="25"/>
        <v>2.4016891946975001</v>
      </c>
      <c r="W72" s="412"/>
      <c r="X72" s="413"/>
      <c r="Y72" s="414"/>
      <c r="Z72" s="414"/>
      <c r="AA72" s="415"/>
      <c r="AB72" s="416"/>
      <c r="AC72" s="417"/>
      <c r="AD72" s="418"/>
      <c r="AE72" s="419"/>
    </row>
    <row r="73" spans="1:32" x14ac:dyDescent="0.25">
      <c r="I73" s="422"/>
      <c r="L73" s="422">
        <v>1555.84</v>
      </c>
      <c r="O73" s="422">
        <v>49.008000000000003</v>
      </c>
    </row>
    <row r="74" spans="1:32" x14ac:dyDescent="0.25">
      <c r="I74" s="422"/>
      <c r="L74" s="422">
        <v>1314.58</v>
      </c>
      <c r="O74" s="422">
        <v>61.643000000000001</v>
      </c>
    </row>
    <row r="75" spans="1:32" x14ac:dyDescent="0.25">
      <c r="I75" s="422"/>
      <c r="L75" s="422">
        <v>1255.4000000000001</v>
      </c>
      <c r="O75" s="422">
        <v>64.337999999999994</v>
      </c>
    </row>
    <row r="76" spans="1:32" x14ac:dyDescent="0.25">
      <c r="I76" s="422"/>
      <c r="L76" s="422">
        <v>1167.3699999999999</v>
      </c>
      <c r="O76" s="422">
        <v>65.076999999999998</v>
      </c>
    </row>
    <row r="77" spans="1:32" x14ac:dyDescent="0.25">
      <c r="I77" s="422"/>
      <c r="L77" s="422">
        <v>1053.8699999999999</v>
      </c>
      <c r="O77" s="422">
        <v>66.248000000000005</v>
      </c>
    </row>
    <row r="78" spans="1:32" x14ac:dyDescent="0.25">
      <c r="I78" s="422"/>
      <c r="L78" s="422">
        <v>916.49</v>
      </c>
      <c r="O78" s="422">
        <v>66.775000000000006</v>
      </c>
    </row>
    <row r="79" spans="1:32" x14ac:dyDescent="0.25">
      <c r="I79" s="422"/>
      <c r="L79" s="422">
        <v>770.44</v>
      </c>
      <c r="O79" s="422">
        <v>66.918000000000006</v>
      </c>
    </row>
    <row r="80" spans="1:32" x14ac:dyDescent="0.25">
      <c r="I80" s="422"/>
      <c r="L80" s="422">
        <v>169.18</v>
      </c>
      <c r="O80" s="422">
        <v>59.350999999999999</v>
      </c>
    </row>
  </sheetData>
  <mergeCells count="26">
    <mergeCell ref="X49:Y49"/>
    <mergeCell ref="A1:N1"/>
    <mergeCell ref="O1:T1"/>
    <mergeCell ref="U1:Z1"/>
    <mergeCell ref="AA1:AF1"/>
    <mergeCell ref="A4:N4"/>
    <mergeCell ref="A5:C5"/>
    <mergeCell ref="D5:I5"/>
    <mergeCell ref="AA5:AD5"/>
    <mergeCell ref="D6:E6"/>
    <mergeCell ref="F6:G6"/>
    <mergeCell ref="J8:M8"/>
    <mergeCell ref="J11:M11"/>
    <mergeCell ref="J14:M14"/>
    <mergeCell ref="AC58:AE58"/>
    <mergeCell ref="A51:L51"/>
    <mergeCell ref="A56:B56"/>
    <mergeCell ref="D56:F56"/>
    <mergeCell ref="H56:P56"/>
    <mergeCell ref="Q56:S56"/>
    <mergeCell ref="T56:W56"/>
    <mergeCell ref="A57:G57"/>
    <mergeCell ref="H57:P57"/>
    <mergeCell ref="Q57:S57"/>
    <mergeCell ref="T57:W57"/>
    <mergeCell ref="X57:AB57"/>
  </mergeCells>
  <pageMargins left="0.75" right="0.75" top="1" bottom="1" header="0.5" footer="0.5"/>
  <pageSetup paperSize="3" scale="4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RC12 "A" 26.2mm</vt:lpstr>
      <vt:lpstr>RC12 "B" original mm</vt:lpstr>
      <vt:lpstr>RC12 "C" 25.6mm</vt:lpstr>
      <vt:lpstr>RC12 final July 26 2017</vt:lpstr>
      <vt:lpstr>compare</vt:lpstr>
      <vt:lpstr>538-KOMP NPSH</vt:lpstr>
      <vt:lpstr>538-KOMP</vt:lpstr>
      <vt:lpstr>538-4000R-F</vt:lpstr>
      <vt:lpstr>538-5500R-F</vt:lpstr>
      <vt:lpstr>400-KOMP NPSH</vt:lpstr>
      <vt:lpstr>400-KOMP</vt:lpstr>
      <vt:lpstr>400-900R-F</vt:lpstr>
      <vt:lpstr>400-1200R-F</vt:lpstr>
      <vt:lpstr>Pump coeff</vt:lpstr>
      <vt:lpstr>RC12 PREMIER</vt:lpstr>
      <vt:lpstr>RC12 PREMIER (2)</vt:lpstr>
      <vt:lpstr>'400-1200R-F'!Print_Area</vt:lpstr>
      <vt:lpstr>'400-900R-F'!Print_Area</vt:lpstr>
      <vt:lpstr>'400-KOMP'!Print_Area</vt:lpstr>
      <vt:lpstr>'400-KOMP NPSH'!Print_Area</vt:lpstr>
      <vt:lpstr>'538-4000R-F'!Print_Area</vt:lpstr>
      <vt:lpstr>'538-5500R-F'!Print_Area</vt:lpstr>
      <vt:lpstr>'538-KOMP'!Print_Area</vt:lpstr>
      <vt:lpstr>'538-KOMP NPSH'!Print_Area</vt:lpstr>
      <vt:lpstr>'Pump coeff'!Print_Area</vt:lpstr>
      <vt:lpstr>'RC12 "A" 26.2mm'!Print_Area</vt:lpstr>
      <vt:lpstr>'RC12 "B" original mm'!Print_Area</vt:lpstr>
      <vt:lpstr>'RC12 "C" 25.6mm'!Print_Area</vt:lpstr>
      <vt:lpstr>'RC12 final July 26 2017'!Print_Area</vt:lpstr>
      <vt:lpstr>pumpcat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Limanowka</dc:creator>
  <cp:lastModifiedBy>SpecTek Engineering</cp:lastModifiedBy>
  <cp:lastPrinted>2017-10-12T23:34:50Z</cp:lastPrinted>
  <dcterms:created xsi:type="dcterms:W3CDTF">2006-03-08T02:56:24Z</dcterms:created>
  <dcterms:modified xsi:type="dcterms:W3CDTF">2017-10-12T23:53:46Z</dcterms:modified>
</cp:coreProperties>
</file>