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phpserver\apache\htdocs\StageVerification\reference\"/>
    </mc:Choice>
  </mc:AlternateContent>
  <bookViews>
    <workbookView xWindow="0" yWindow="0" windowWidth="28800" windowHeight="12435" tabRatio="835"/>
  </bookViews>
  <sheets>
    <sheet name="RC12 &quot;A&quot; 26.2mm" sheetId="23" r:id="rId1"/>
    <sheet name="RC12 &quot;B&quot; original mm" sheetId="24" r:id="rId2"/>
    <sheet name="RC12 &quot;C&quot; 25.6mm" sheetId="25" r:id="rId3"/>
    <sheet name="RC12 final July 26 2017" sheetId="28" r:id="rId4"/>
    <sheet name="RC12 PREMIER" sheetId="27" r:id="rId5"/>
    <sheet name="RC12 PREMIER (2)" sheetId="29" r:id="rId6"/>
    <sheet name="compare" sheetId="26" r:id="rId7"/>
    <sheet name="Pump coeff" sheetId="1" r:id="rId8"/>
  </sheets>
  <definedNames>
    <definedName name="_xlnm.Print_Area" localSheetId="7">'Pump coeff'!$A$1:$CC$3</definedName>
    <definedName name="_xlnm.Print_Area" localSheetId="0">'RC12 "A" 26.2mm'!$A$1:$AA$54</definedName>
    <definedName name="_xlnm.Print_Area" localSheetId="1">'RC12 "B" original mm'!$A$1:$AA$54</definedName>
    <definedName name="_xlnm.Print_Area" localSheetId="2">'RC12 "C" 25.6mm'!$A$1:$AA$54</definedName>
    <definedName name="_xlnm.Print_Area" localSheetId="3">'RC12 final July 26 2017'!$A$1:$AA$54</definedName>
    <definedName name="pumpcat">'Pump coeff'!$A$2:$AL$3</definedName>
  </definedNames>
  <calcPr calcId="152511"/>
  <fileRecoveryPr autoRecover="0"/>
</workbook>
</file>

<file path=xl/calcChain.xml><?xml version="1.0" encoding="utf-8"?>
<calcChain xmlns="http://schemas.openxmlformats.org/spreadsheetml/2006/main">
  <c r="K99" i="23" l="1"/>
  <c r="K100" i="23"/>
  <c r="K101" i="23"/>
  <c r="K102" i="23"/>
  <c r="K103" i="23"/>
  <c r="K104" i="23"/>
  <c r="K105" i="23"/>
  <c r="K106" i="23"/>
  <c r="K98" i="23"/>
  <c r="H99" i="23"/>
  <c r="M99" i="23" s="1"/>
  <c r="H100" i="23"/>
  <c r="M100" i="23" s="1"/>
  <c r="H101" i="23"/>
  <c r="M101" i="23" s="1"/>
  <c r="H102" i="23"/>
  <c r="M102" i="23" s="1"/>
  <c r="H103" i="23"/>
  <c r="M103" i="23" s="1"/>
  <c r="H104" i="23"/>
  <c r="M104" i="23" s="1"/>
  <c r="H105" i="23"/>
  <c r="M105" i="23" s="1"/>
  <c r="H106" i="23"/>
  <c r="M106" i="23" s="1"/>
  <c r="H98" i="23"/>
  <c r="M98" i="23" s="1"/>
  <c r="G99" i="23"/>
  <c r="L99" i="23" s="1"/>
  <c r="G100" i="23"/>
  <c r="L100" i="23" s="1"/>
  <c r="G101" i="23"/>
  <c r="G102" i="23"/>
  <c r="I102" i="23" s="1"/>
  <c r="G103" i="23"/>
  <c r="L103" i="23" s="1"/>
  <c r="G104" i="23"/>
  <c r="L104" i="23" s="1"/>
  <c r="G105" i="23"/>
  <c r="G106" i="23"/>
  <c r="L106" i="23" s="1"/>
  <c r="G98" i="23"/>
  <c r="L98" i="23" s="1"/>
  <c r="W91" i="23"/>
  <c r="I105" i="23" l="1"/>
  <c r="I101" i="23"/>
  <c r="I104" i="23"/>
  <c r="N104" i="23"/>
  <c r="N100" i="23"/>
  <c r="I100" i="23"/>
  <c r="N106" i="23"/>
  <c r="N98" i="23"/>
  <c r="N103" i="23"/>
  <c r="N99" i="23"/>
  <c r="L102" i="23"/>
  <c r="N102" i="23" s="1"/>
  <c r="I98" i="23"/>
  <c r="I103" i="23"/>
  <c r="I99" i="23"/>
  <c r="L105" i="23"/>
  <c r="N105" i="23" s="1"/>
  <c r="L101" i="23"/>
  <c r="N101" i="23" s="1"/>
  <c r="I106" i="23"/>
  <c r="W80" i="23"/>
  <c r="W81" i="23"/>
  <c r="W82" i="23"/>
  <c r="W83" i="23"/>
  <c r="W84" i="23"/>
  <c r="W85" i="23"/>
  <c r="W86" i="23"/>
  <c r="W87" i="23"/>
  <c r="W88" i="23"/>
  <c r="W89" i="23"/>
  <c r="W90" i="23"/>
  <c r="W79" i="23"/>
  <c r="K67" i="28" l="1"/>
  <c r="K66" i="28"/>
  <c r="K65" i="28"/>
  <c r="K64" i="28"/>
  <c r="K63" i="28"/>
  <c r="K62" i="28"/>
  <c r="K61" i="28"/>
  <c r="K60" i="28"/>
  <c r="L67" i="28"/>
  <c r="L60" i="28"/>
  <c r="O67" i="28" l="1"/>
  <c r="O66" i="28"/>
  <c r="O65" i="28"/>
  <c r="O64" i="28"/>
  <c r="O63" i="28"/>
  <c r="O62" i="28"/>
  <c r="O61" i="28"/>
  <c r="O60" i="28"/>
  <c r="L66" i="28"/>
  <c r="L65" i="28"/>
  <c r="L64" i="28"/>
  <c r="L63" i="28"/>
  <c r="L62" i="28"/>
  <c r="L61" i="28"/>
  <c r="N67" i="28" l="1"/>
  <c r="P67" i="28" s="1"/>
  <c r="M67" i="28"/>
  <c r="H67" i="28"/>
  <c r="J67" i="28" s="1"/>
  <c r="E67" i="28"/>
  <c r="G67" i="28" s="1"/>
  <c r="N66" i="28"/>
  <c r="P66" i="28" s="1"/>
  <c r="M66" i="28"/>
  <c r="H66" i="28"/>
  <c r="J66" i="28" s="1"/>
  <c r="E66" i="28"/>
  <c r="G66" i="28" s="1"/>
  <c r="N65" i="28"/>
  <c r="P65" i="28" s="1"/>
  <c r="M65" i="28"/>
  <c r="H65" i="28"/>
  <c r="J65" i="28" s="1"/>
  <c r="E65" i="28"/>
  <c r="G65" i="28" s="1"/>
  <c r="N64" i="28"/>
  <c r="P64" i="28" s="1"/>
  <c r="M64" i="28"/>
  <c r="H64" i="28"/>
  <c r="J64" i="28" s="1"/>
  <c r="E64" i="28"/>
  <c r="G64" i="28" s="1"/>
  <c r="N63" i="28"/>
  <c r="P63" i="28" s="1"/>
  <c r="M63" i="28"/>
  <c r="H63" i="28"/>
  <c r="J63" i="28" s="1"/>
  <c r="E63" i="28"/>
  <c r="G63" i="28" s="1"/>
  <c r="T62" i="28"/>
  <c r="Q62" i="28"/>
  <c r="N62" i="28"/>
  <c r="P62" i="28" s="1"/>
  <c r="M62" i="28"/>
  <c r="H62" i="28"/>
  <c r="J62" i="28" s="1"/>
  <c r="E62" i="28"/>
  <c r="G62" i="28" s="1"/>
  <c r="N61" i="28"/>
  <c r="P61" i="28" s="1"/>
  <c r="M61" i="28"/>
  <c r="H61" i="28"/>
  <c r="J61" i="28" s="1"/>
  <c r="E61" i="28"/>
  <c r="G61" i="28" s="1"/>
  <c r="V60" i="28"/>
  <c r="U60" i="28"/>
  <c r="N60" i="28"/>
  <c r="P60" i="28" s="1"/>
  <c r="M60" i="28"/>
  <c r="H60" i="28"/>
  <c r="J60" i="28" s="1"/>
  <c r="E60" i="28"/>
  <c r="G60" i="28" s="1"/>
  <c r="AB15" i="28"/>
  <c r="D15" i="28"/>
  <c r="A15" i="28"/>
  <c r="F15" i="28" s="1"/>
  <c r="G15" i="28" s="1"/>
  <c r="Y66" i="28" s="1"/>
  <c r="J13" i="28"/>
  <c r="J12" i="28"/>
  <c r="AD9" i="28"/>
  <c r="AC9" i="28"/>
  <c r="AB9" i="28"/>
  <c r="AA9" i="28"/>
  <c r="B9" i="28"/>
  <c r="R60" i="28" s="1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T72" i="28" s="1"/>
  <c r="L3" i="28"/>
  <c r="K3" i="28"/>
  <c r="J3" i="28"/>
  <c r="Q70" i="28" s="1"/>
  <c r="I3" i="28"/>
  <c r="AB66" i="28" s="1"/>
  <c r="H3" i="28"/>
  <c r="G3" i="28"/>
  <c r="F3" i="28"/>
  <c r="T66" i="28" s="1"/>
  <c r="E3" i="28"/>
  <c r="D3" i="28"/>
  <c r="C3" i="28"/>
  <c r="A11" i="28" s="1"/>
  <c r="B3" i="28"/>
  <c r="A3" i="28"/>
  <c r="V72" i="28" l="1"/>
  <c r="U72" i="28"/>
  <c r="V66" i="28"/>
  <c r="U66" i="28"/>
  <c r="T68" i="28"/>
  <c r="A13" i="28"/>
  <c r="D11" i="28"/>
  <c r="E11" i="28" s="1"/>
  <c r="X62" i="28" s="1"/>
  <c r="J10" i="28"/>
  <c r="J9" i="28"/>
  <c r="AB11" i="28"/>
  <c r="B11" i="28"/>
  <c r="A10" i="28"/>
  <c r="AA11" i="28"/>
  <c r="A12" i="28"/>
  <c r="F11" i="28"/>
  <c r="Q64" i="28"/>
  <c r="Q65" i="28" s="1"/>
  <c r="R65" i="28" s="1"/>
  <c r="Q71" i="28"/>
  <c r="R71" i="28" s="1"/>
  <c r="R70" i="28"/>
  <c r="C13" i="28"/>
  <c r="B19" i="28"/>
  <c r="U62" i="28"/>
  <c r="S64" i="28"/>
  <c r="Q66" i="28"/>
  <c r="S70" i="28"/>
  <c r="T61" i="28"/>
  <c r="T64" i="28"/>
  <c r="T63" i="28" s="1"/>
  <c r="R66" i="28"/>
  <c r="T70" i="28"/>
  <c r="Q72" i="28"/>
  <c r="R72" i="28" s="1"/>
  <c r="G11" i="28"/>
  <c r="Y62" i="28" s="1"/>
  <c r="V62" i="28"/>
  <c r="C12" i="28"/>
  <c r="B15" i="28"/>
  <c r="S66" i="28"/>
  <c r="A19" i="28"/>
  <c r="C19" i="28" s="1"/>
  <c r="B12" i="28"/>
  <c r="C15" i="28"/>
  <c r="AA15" i="28"/>
  <c r="A21" i="28"/>
  <c r="S72" i="28"/>
  <c r="C9" i="28"/>
  <c r="S60" i="28" s="1"/>
  <c r="C10" i="28"/>
  <c r="C11" i="28"/>
  <c r="E15" i="28"/>
  <c r="X66" i="28" s="1"/>
  <c r="A17" i="28"/>
  <c r="C17" i="28" s="1"/>
  <c r="C21" i="28"/>
  <c r="R62" i="28"/>
  <c r="S65" i="28"/>
  <c r="Q61" i="28"/>
  <c r="R61" i="28" s="1"/>
  <c r="S62" i="28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L3" i="25"/>
  <c r="K3" i="25"/>
  <c r="J3" i="25"/>
  <c r="I3" i="25"/>
  <c r="H3" i="25"/>
  <c r="G3" i="25"/>
  <c r="F3" i="25"/>
  <c r="E3" i="25"/>
  <c r="D3" i="25"/>
  <c r="C3" i="25"/>
  <c r="B3" i="25"/>
  <c r="A3" i="25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L3" i="24"/>
  <c r="K3" i="24"/>
  <c r="J3" i="24"/>
  <c r="I3" i="24"/>
  <c r="H3" i="24"/>
  <c r="G3" i="24"/>
  <c r="F3" i="24"/>
  <c r="E3" i="24"/>
  <c r="D3" i="24"/>
  <c r="C3" i="24"/>
  <c r="B3" i="24"/>
  <c r="A3" i="24"/>
  <c r="I17" i="28" l="1"/>
  <c r="AA68" i="28" s="1"/>
  <c r="H17" i="28"/>
  <c r="Z68" i="28" s="1"/>
  <c r="H19" i="28"/>
  <c r="Z70" i="28" s="1"/>
  <c r="I19" i="28"/>
  <c r="AA70" i="28" s="1"/>
  <c r="V63" i="28"/>
  <c r="AD63" i="28" s="1"/>
  <c r="U63" i="28"/>
  <c r="T69" i="28"/>
  <c r="V68" i="28"/>
  <c r="AD68" i="28" s="1"/>
  <c r="U68" i="28"/>
  <c r="S71" i="28"/>
  <c r="I15" i="28"/>
  <c r="AA66" i="28" s="1"/>
  <c r="AD66" i="28" s="1"/>
  <c r="H15" i="28"/>
  <c r="Z66" i="28" s="1"/>
  <c r="B10" i="28"/>
  <c r="AB10" i="28"/>
  <c r="AA10" i="28"/>
  <c r="T67" i="28"/>
  <c r="W62" i="28"/>
  <c r="AC66" i="28"/>
  <c r="AA17" i="28"/>
  <c r="AB17" i="28"/>
  <c r="A18" i="28"/>
  <c r="F17" i="28"/>
  <c r="G17" i="28" s="1"/>
  <c r="Y68" i="28" s="1"/>
  <c r="D17" i="28"/>
  <c r="E17" i="28" s="1"/>
  <c r="X68" i="28" s="1"/>
  <c r="A16" i="28"/>
  <c r="AA21" i="28"/>
  <c r="B21" i="28"/>
  <c r="AB21" i="28"/>
  <c r="T71" i="28"/>
  <c r="V70" i="28"/>
  <c r="AD70" i="28" s="1"/>
  <c r="U70" i="28"/>
  <c r="I11" i="28"/>
  <c r="AA62" i="28" s="1"/>
  <c r="H11" i="28"/>
  <c r="Z62" i="28" s="1"/>
  <c r="AD62" i="28" s="1"/>
  <c r="Q68" i="28"/>
  <c r="Q67" i="28"/>
  <c r="I13" i="28"/>
  <c r="AA64" i="28" s="1"/>
  <c r="H13" i="28"/>
  <c r="Z64" i="28" s="1"/>
  <c r="W66" i="28"/>
  <c r="AE66" i="28" s="1"/>
  <c r="A20" i="28"/>
  <c r="F19" i="28"/>
  <c r="G19" i="28" s="1"/>
  <c r="Y70" i="28" s="1"/>
  <c r="D19" i="28"/>
  <c r="E19" i="28" s="1"/>
  <c r="X70" i="28" s="1"/>
  <c r="J15" i="28"/>
  <c r="AB19" i="28"/>
  <c r="AA19" i="28"/>
  <c r="J16" i="28"/>
  <c r="B17" i="28"/>
  <c r="H12" i="28"/>
  <c r="Z63" i="28" s="1"/>
  <c r="I12" i="28"/>
  <c r="AA63" i="28" s="1"/>
  <c r="T65" i="28"/>
  <c r="V64" i="28"/>
  <c r="U64" i="28"/>
  <c r="AC64" i="28" s="1"/>
  <c r="AC62" i="28"/>
  <c r="R64" i="28"/>
  <c r="AD15" i="28"/>
  <c r="AC15" i="28"/>
  <c r="AC11" i="28"/>
  <c r="AD11" i="28"/>
  <c r="Q63" i="28"/>
  <c r="V61" i="28"/>
  <c r="U61" i="28"/>
  <c r="S61" i="28"/>
  <c r="F12" i="28"/>
  <c r="G12" i="28" s="1"/>
  <c r="Y63" i="28" s="1"/>
  <c r="AB12" i="28"/>
  <c r="D12" i="28"/>
  <c r="E12" i="28" s="1"/>
  <c r="X63" i="28" s="1"/>
  <c r="AA12" i="28"/>
  <c r="F13" i="28"/>
  <c r="G13" i="28" s="1"/>
  <c r="Y64" i="28" s="1"/>
  <c r="AB13" i="28"/>
  <c r="A14" i="28"/>
  <c r="D13" i="28"/>
  <c r="E13" i="28" s="1"/>
  <c r="X64" i="28" s="1"/>
  <c r="B13" i="28"/>
  <c r="AA13" i="28"/>
  <c r="K60" i="23"/>
  <c r="W70" i="28" l="1"/>
  <c r="W63" i="28"/>
  <c r="AD19" i="28"/>
  <c r="AC19" i="28"/>
  <c r="S63" i="28"/>
  <c r="R63" i="28"/>
  <c r="S67" i="28"/>
  <c r="R67" i="28"/>
  <c r="AD13" i="28"/>
  <c r="AC13" i="28"/>
  <c r="AD21" i="28"/>
  <c r="AC21" i="28"/>
  <c r="V69" i="28"/>
  <c r="U69" i="28"/>
  <c r="AD17" i="28"/>
  <c r="AC17" i="28"/>
  <c r="AA20" i="28"/>
  <c r="AB20" i="28"/>
  <c r="B20" i="28"/>
  <c r="C20" i="28"/>
  <c r="F16" i="28"/>
  <c r="G16" i="28" s="1"/>
  <c r="Y67" i="28" s="1"/>
  <c r="AB16" i="28"/>
  <c r="D16" i="28"/>
  <c r="E16" i="28" s="1"/>
  <c r="X67" i="28" s="1"/>
  <c r="AA16" i="28"/>
  <c r="C16" i="28"/>
  <c r="B16" i="28"/>
  <c r="AC68" i="28"/>
  <c r="AD64" i="28"/>
  <c r="W64" i="28"/>
  <c r="AC70" i="28"/>
  <c r="V67" i="28"/>
  <c r="U67" i="28"/>
  <c r="AC67" i="28" s="1"/>
  <c r="AB18" i="28"/>
  <c r="D18" i="28"/>
  <c r="E18" i="28" s="1"/>
  <c r="X69" i="28" s="1"/>
  <c r="AA18" i="28"/>
  <c r="F18" i="28"/>
  <c r="G18" i="28" s="1"/>
  <c r="Y69" i="28" s="1"/>
  <c r="B18" i="28"/>
  <c r="C18" i="28"/>
  <c r="V71" i="28"/>
  <c r="U71" i="28"/>
  <c r="AD12" i="28"/>
  <c r="AC12" i="28"/>
  <c r="Q69" i="28"/>
  <c r="S68" i="28"/>
  <c r="R68" i="28"/>
  <c r="AC63" i="28"/>
  <c r="V65" i="28"/>
  <c r="U65" i="28"/>
  <c r="AB14" i="28"/>
  <c r="AA14" i="28"/>
  <c r="D14" i="28"/>
  <c r="E14" i="28" s="1"/>
  <c r="X65" i="28" s="1"/>
  <c r="F14" i="28"/>
  <c r="G14" i="28" s="1"/>
  <c r="Y65" i="28" s="1"/>
  <c r="C14" i="28"/>
  <c r="B14" i="28"/>
  <c r="AD10" i="28"/>
  <c r="AC10" i="28"/>
  <c r="W68" i="28"/>
  <c r="P71" i="25"/>
  <c r="M71" i="25"/>
  <c r="J71" i="25"/>
  <c r="G71" i="25"/>
  <c r="N71" i="25"/>
  <c r="E71" i="25"/>
  <c r="H71" i="25"/>
  <c r="K71" i="25"/>
  <c r="N70" i="25"/>
  <c r="P70" i="25" s="1"/>
  <c r="K70" i="25"/>
  <c r="M70" i="25" s="1"/>
  <c r="H70" i="25"/>
  <c r="J70" i="25" s="1"/>
  <c r="E70" i="25"/>
  <c r="G70" i="25" s="1"/>
  <c r="N69" i="25"/>
  <c r="P69" i="25" s="1"/>
  <c r="K69" i="25"/>
  <c r="M69" i="25" s="1"/>
  <c r="H69" i="25"/>
  <c r="J69" i="25" s="1"/>
  <c r="E69" i="25"/>
  <c r="G69" i="25" s="1"/>
  <c r="N68" i="25"/>
  <c r="P68" i="25" s="1"/>
  <c r="K68" i="25"/>
  <c r="M68" i="25" s="1"/>
  <c r="H68" i="25"/>
  <c r="J68" i="25" s="1"/>
  <c r="E68" i="25"/>
  <c r="G68" i="25" s="1"/>
  <c r="N67" i="25"/>
  <c r="P67" i="25" s="1"/>
  <c r="K67" i="25"/>
  <c r="M67" i="25" s="1"/>
  <c r="H67" i="25"/>
  <c r="J67" i="25" s="1"/>
  <c r="E67" i="25"/>
  <c r="G67" i="25" s="1"/>
  <c r="N66" i="25"/>
  <c r="P66" i="25" s="1"/>
  <c r="K66" i="25"/>
  <c r="M66" i="25" s="1"/>
  <c r="H66" i="25"/>
  <c r="J66" i="25" s="1"/>
  <c r="E66" i="25"/>
  <c r="G66" i="25" s="1"/>
  <c r="N65" i="25"/>
  <c r="P65" i="25" s="1"/>
  <c r="K65" i="25"/>
  <c r="M65" i="25" s="1"/>
  <c r="H65" i="25"/>
  <c r="J65" i="25" s="1"/>
  <c r="G65" i="25"/>
  <c r="E65" i="25"/>
  <c r="N64" i="25"/>
  <c r="P64" i="25" s="1"/>
  <c r="K64" i="25"/>
  <c r="M64" i="25" s="1"/>
  <c r="H64" i="25"/>
  <c r="J64" i="25" s="1"/>
  <c r="E64" i="25"/>
  <c r="G64" i="25" s="1"/>
  <c r="N63" i="25"/>
  <c r="P63" i="25" s="1"/>
  <c r="K63" i="25"/>
  <c r="M63" i="25" s="1"/>
  <c r="H63" i="25"/>
  <c r="J63" i="25" s="1"/>
  <c r="E63" i="25"/>
  <c r="G63" i="25" s="1"/>
  <c r="T62" i="25"/>
  <c r="N62" i="25"/>
  <c r="P62" i="25" s="1"/>
  <c r="K62" i="25"/>
  <c r="M62" i="25" s="1"/>
  <c r="H62" i="25"/>
  <c r="J62" i="25" s="1"/>
  <c r="E62" i="25"/>
  <c r="G62" i="25" s="1"/>
  <c r="N61" i="25"/>
  <c r="P61" i="25" s="1"/>
  <c r="K61" i="25"/>
  <c r="M61" i="25" s="1"/>
  <c r="H61" i="25"/>
  <c r="J61" i="25" s="1"/>
  <c r="E61" i="25"/>
  <c r="G61" i="25" s="1"/>
  <c r="V60" i="25"/>
  <c r="U60" i="25"/>
  <c r="N60" i="25"/>
  <c r="P60" i="25" s="1"/>
  <c r="K60" i="25"/>
  <c r="M60" i="25" s="1"/>
  <c r="H60" i="25"/>
  <c r="J60" i="25" s="1"/>
  <c r="E60" i="25"/>
  <c r="G60" i="25" s="1"/>
  <c r="A19" i="25"/>
  <c r="AD9" i="25"/>
  <c r="AC9" i="25"/>
  <c r="AB9" i="25"/>
  <c r="AA9" i="25"/>
  <c r="B9" i="25"/>
  <c r="R60" i="25" s="1"/>
  <c r="T72" i="25"/>
  <c r="Q70" i="25"/>
  <c r="AB66" i="25"/>
  <c r="T66" i="25"/>
  <c r="Q62" i="25"/>
  <c r="P71" i="24"/>
  <c r="M71" i="24"/>
  <c r="J71" i="24"/>
  <c r="G71" i="24"/>
  <c r="N71" i="24"/>
  <c r="E71" i="24"/>
  <c r="H71" i="24"/>
  <c r="K71" i="24"/>
  <c r="N70" i="24"/>
  <c r="P70" i="24" s="1"/>
  <c r="K70" i="24"/>
  <c r="M70" i="24" s="1"/>
  <c r="H70" i="24"/>
  <c r="J70" i="24" s="1"/>
  <c r="E70" i="24"/>
  <c r="G70" i="24" s="1"/>
  <c r="N69" i="24"/>
  <c r="P69" i="24" s="1"/>
  <c r="K69" i="24"/>
  <c r="M69" i="24" s="1"/>
  <c r="H69" i="24"/>
  <c r="J69" i="24" s="1"/>
  <c r="E69" i="24"/>
  <c r="G69" i="24" s="1"/>
  <c r="N68" i="24"/>
  <c r="P68" i="24" s="1"/>
  <c r="K68" i="24"/>
  <c r="M68" i="24" s="1"/>
  <c r="H68" i="24"/>
  <c r="J68" i="24" s="1"/>
  <c r="E68" i="24"/>
  <c r="G68" i="24" s="1"/>
  <c r="N67" i="24"/>
  <c r="P67" i="24" s="1"/>
  <c r="K67" i="24"/>
  <c r="M67" i="24" s="1"/>
  <c r="H67" i="24"/>
  <c r="J67" i="24" s="1"/>
  <c r="E67" i="24"/>
  <c r="G67" i="24" s="1"/>
  <c r="N66" i="24"/>
  <c r="P66" i="24" s="1"/>
  <c r="K66" i="24"/>
  <c r="M66" i="24" s="1"/>
  <c r="H66" i="24"/>
  <c r="J66" i="24" s="1"/>
  <c r="E66" i="24"/>
  <c r="G66" i="24" s="1"/>
  <c r="N65" i="24"/>
  <c r="P65" i="24" s="1"/>
  <c r="K65" i="24"/>
  <c r="M65" i="24" s="1"/>
  <c r="H65" i="24"/>
  <c r="J65" i="24" s="1"/>
  <c r="E65" i="24"/>
  <c r="G65" i="24" s="1"/>
  <c r="N64" i="24"/>
  <c r="P64" i="24" s="1"/>
  <c r="K64" i="24"/>
  <c r="M64" i="24" s="1"/>
  <c r="H64" i="24"/>
  <c r="J64" i="24" s="1"/>
  <c r="E64" i="24"/>
  <c r="G64" i="24" s="1"/>
  <c r="N63" i="24"/>
  <c r="P63" i="24" s="1"/>
  <c r="K63" i="24"/>
  <c r="M63" i="24" s="1"/>
  <c r="H63" i="24"/>
  <c r="J63" i="24" s="1"/>
  <c r="E63" i="24"/>
  <c r="G63" i="24" s="1"/>
  <c r="N62" i="24"/>
  <c r="P62" i="24" s="1"/>
  <c r="K62" i="24"/>
  <c r="M62" i="24" s="1"/>
  <c r="H62" i="24"/>
  <c r="J62" i="24" s="1"/>
  <c r="E62" i="24"/>
  <c r="G62" i="24" s="1"/>
  <c r="N61" i="24"/>
  <c r="P61" i="24" s="1"/>
  <c r="K61" i="24"/>
  <c r="M61" i="24" s="1"/>
  <c r="H61" i="24"/>
  <c r="J61" i="24" s="1"/>
  <c r="E61" i="24"/>
  <c r="G61" i="24" s="1"/>
  <c r="V60" i="24"/>
  <c r="U60" i="24"/>
  <c r="N60" i="24"/>
  <c r="P60" i="24" s="1"/>
  <c r="K60" i="24"/>
  <c r="M60" i="24" s="1"/>
  <c r="H60" i="24"/>
  <c r="J60" i="24" s="1"/>
  <c r="E60" i="24"/>
  <c r="G60" i="24" s="1"/>
  <c r="AD9" i="24"/>
  <c r="AC9" i="24"/>
  <c r="AB9" i="24"/>
  <c r="AA9" i="24"/>
  <c r="C9" i="24"/>
  <c r="S60" i="24" s="1"/>
  <c r="T72" i="24"/>
  <c r="Q70" i="24"/>
  <c r="AB66" i="24"/>
  <c r="T66" i="24"/>
  <c r="Q62" i="24"/>
  <c r="R62" i="23"/>
  <c r="Q61" i="23"/>
  <c r="N70" i="23"/>
  <c r="P70" i="23" s="1"/>
  <c r="N69" i="23"/>
  <c r="P69" i="23" s="1"/>
  <c r="N68" i="23"/>
  <c r="P68" i="23" s="1"/>
  <c r="N67" i="23"/>
  <c r="P67" i="23" s="1"/>
  <c r="N66" i="23"/>
  <c r="P66" i="23" s="1"/>
  <c r="N65" i="23"/>
  <c r="P65" i="23" s="1"/>
  <c r="N64" i="23"/>
  <c r="P64" i="23" s="1"/>
  <c r="N63" i="23"/>
  <c r="P63" i="23" s="1"/>
  <c r="N62" i="23"/>
  <c r="P62" i="23" s="1"/>
  <c r="N61" i="23"/>
  <c r="N60" i="23"/>
  <c r="P60" i="23" s="1"/>
  <c r="H60" i="23"/>
  <c r="J60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M60" i="23"/>
  <c r="H70" i="23"/>
  <c r="J70" i="23" s="1"/>
  <c r="H69" i="23"/>
  <c r="J69" i="23" s="1"/>
  <c r="H68" i="23"/>
  <c r="J68" i="23" s="1"/>
  <c r="H67" i="23"/>
  <c r="J67" i="23" s="1"/>
  <c r="H66" i="23"/>
  <c r="J66" i="23" s="1"/>
  <c r="H65" i="23"/>
  <c r="J65" i="23" s="1"/>
  <c r="H64" i="23"/>
  <c r="J64" i="23" s="1"/>
  <c r="H63" i="23"/>
  <c r="J63" i="23" s="1"/>
  <c r="H62" i="23"/>
  <c r="J62" i="23" s="1"/>
  <c r="H61" i="23"/>
  <c r="J61" i="23" s="1"/>
  <c r="E70" i="23"/>
  <c r="G70" i="23" s="1"/>
  <c r="E69" i="23"/>
  <c r="G69" i="23" s="1"/>
  <c r="E68" i="23"/>
  <c r="G68" i="23" s="1"/>
  <c r="E67" i="23"/>
  <c r="G67" i="23" s="1"/>
  <c r="E66" i="23"/>
  <c r="G66" i="23" s="1"/>
  <c r="E65" i="23"/>
  <c r="G65" i="23" s="1"/>
  <c r="E64" i="23"/>
  <c r="G64" i="23" s="1"/>
  <c r="E63" i="23"/>
  <c r="G63" i="23" s="1"/>
  <c r="E62" i="23"/>
  <c r="G62" i="23" s="1"/>
  <c r="E61" i="23"/>
  <c r="G61" i="23" s="1"/>
  <c r="E60" i="23"/>
  <c r="G60" i="23" s="1"/>
  <c r="Z3" i="23"/>
  <c r="Y3" i="23"/>
  <c r="X3" i="23"/>
  <c r="W3" i="23"/>
  <c r="V3" i="23"/>
  <c r="U3" i="23"/>
  <c r="C9" i="23" s="1"/>
  <c r="S60" i="23" s="1"/>
  <c r="T3" i="23"/>
  <c r="S3" i="23"/>
  <c r="R3" i="23"/>
  <c r="Q3" i="23"/>
  <c r="P3" i="23"/>
  <c r="O3" i="23"/>
  <c r="N3" i="23"/>
  <c r="A21" i="23" s="1"/>
  <c r="L3" i="23"/>
  <c r="K3" i="23"/>
  <c r="J3" i="23"/>
  <c r="Q70" i="23" s="1"/>
  <c r="I3" i="23"/>
  <c r="H3" i="23"/>
  <c r="G3" i="23"/>
  <c r="F3" i="23"/>
  <c r="Q66" i="23" s="1"/>
  <c r="E3" i="23"/>
  <c r="D3" i="23"/>
  <c r="C3" i="23"/>
  <c r="A11" i="23" s="1"/>
  <c r="B3" i="23"/>
  <c r="A3" i="23"/>
  <c r="AD9" i="23"/>
  <c r="AC9" i="23"/>
  <c r="AB9" i="23"/>
  <c r="AA9" i="23"/>
  <c r="X3" i="1"/>
  <c r="Q3" i="1"/>
  <c r="A19" i="23"/>
  <c r="AB19" i="23" s="1"/>
  <c r="U60" i="23"/>
  <c r="V60" i="23"/>
  <c r="Q62" i="23"/>
  <c r="T62" i="23"/>
  <c r="V62" i="23" s="1"/>
  <c r="AB66" i="23"/>
  <c r="T70" i="23"/>
  <c r="S3" i="1"/>
  <c r="T3" i="1"/>
  <c r="N3" i="1"/>
  <c r="M3" i="1"/>
  <c r="J16" i="23"/>
  <c r="T61" i="23"/>
  <c r="V61" i="23" s="1"/>
  <c r="U62" i="23"/>
  <c r="F19" i="23"/>
  <c r="D19" i="23"/>
  <c r="W3" i="1"/>
  <c r="P3" i="1"/>
  <c r="U3" i="1"/>
  <c r="W69" i="28" l="1"/>
  <c r="W65" i="28"/>
  <c r="H16" i="28"/>
  <c r="Z67" i="28" s="1"/>
  <c r="I16" i="28"/>
  <c r="AA67" i="28" s="1"/>
  <c r="AD16" i="28"/>
  <c r="AC16" i="28"/>
  <c r="AC69" i="28"/>
  <c r="AD20" i="28"/>
  <c r="AC20" i="28"/>
  <c r="AC14" i="28"/>
  <c r="AD14" i="28"/>
  <c r="R69" i="28"/>
  <c r="S69" i="28"/>
  <c r="AD18" i="28"/>
  <c r="AC18" i="28"/>
  <c r="W67" i="28"/>
  <c r="H14" i="28"/>
  <c r="Z65" i="28" s="1"/>
  <c r="AD65" i="28" s="1"/>
  <c r="I14" i="28"/>
  <c r="AA65" i="28" s="1"/>
  <c r="I18" i="28"/>
  <c r="AA69" i="28" s="1"/>
  <c r="AD69" i="28" s="1"/>
  <c r="H18" i="28"/>
  <c r="Z69" i="28" s="1"/>
  <c r="AD67" i="28"/>
  <c r="AC65" i="28"/>
  <c r="V72" i="25"/>
  <c r="U72" i="25"/>
  <c r="V66" i="25"/>
  <c r="U66" i="25"/>
  <c r="Q61" i="25"/>
  <c r="R61" i="25" s="1"/>
  <c r="R70" i="25"/>
  <c r="J16" i="25"/>
  <c r="B19" i="25"/>
  <c r="AA19" i="25"/>
  <c r="S61" i="25"/>
  <c r="U62" i="25"/>
  <c r="Q66" i="25"/>
  <c r="S70" i="25"/>
  <c r="A15" i="25"/>
  <c r="C19" i="25"/>
  <c r="AB19" i="25"/>
  <c r="T61" i="25"/>
  <c r="V62" i="25"/>
  <c r="T64" i="25"/>
  <c r="R66" i="25"/>
  <c r="T70" i="25"/>
  <c r="T68" i="25" s="1"/>
  <c r="Q72" i="25"/>
  <c r="Q71" i="25" s="1"/>
  <c r="R71" i="25" s="1"/>
  <c r="J15" i="25"/>
  <c r="D19" i="25"/>
  <c r="E19" i="25" s="1"/>
  <c r="X70" i="25" s="1"/>
  <c r="S66" i="25"/>
  <c r="R72" i="25"/>
  <c r="A11" i="25"/>
  <c r="C15" i="25"/>
  <c r="A21" i="25"/>
  <c r="C21" i="25" s="1"/>
  <c r="S72" i="25"/>
  <c r="F19" i="25"/>
  <c r="G19" i="25" s="1"/>
  <c r="Y70" i="25" s="1"/>
  <c r="C9" i="25"/>
  <c r="S60" i="25" s="1"/>
  <c r="C11" i="25"/>
  <c r="R62" i="25"/>
  <c r="S62" i="25"/>
  <c r="V72" i="24"/>
  <c r="U72" i="24"/>
  <c r="V66" i="24"/>
  <c r="U66" i="24"/>
  <c r="Q61" i="24"/>
  <c r="S61" i="24" s="1"/>
  <c r="R62" i="24"/>
  <c r="A19" i="24"/>
  <c r="T62" i="24"/>
  <c r="R70" i="24"/>
  <c r="Q66" i="24"/>
  <c r="S70" i="24"/>
  <c r="A15" i="24"/>
  <c r="C15" i="24" s="1"/>
  <c r="C19" i="24"/>
  <c r="R66" i="24"/>
  <c r="T70" i="24"/>
  <c r="Q72" i="24"/>
  <c r="Q71" i="24" s="1"/>
  <c r="B15" i="24"/>
  <c r="S66" i="24"/>
  <c r="R72" i="24"/>
  <c r="A11" i="24"/>
  <c r="A21" i="24"/>
  <c r="S72" i="24"/>
  <c r="B9" i="24"/>
  <c r="R60" i="24" s="1"/>
  <c r="B21" i="24"/>
  <c r="S62" i="24"/>
  <c r="AB21" i="23"/>
  <c r="AA21" i="23"/>
  <c r="B21" i="23"/>
  <c r="J15" i="23"/>
  <c r="A20" i="23"/>
  <c r="AA20" i="23" s="1"/>
  <c r="T72" i="23"/>
  <c r="AA19" i="23"/>
  <c r="AC19" i="23" s="1"/>
  <c r="Q72" i="23"/>
  <c r="R72" i="23" s="1"/>
  <c r="R70" i="23"/>
  <c r="C21" i="23"/>
  <c r="S70" i="23"/>
  <c r="P61" i="23"/>
  <c r="C11" i="23"/>
  <c r="I11" i="23" s="1"/>
  <c r="AA62" i="23" s="1"/>
  <c r="S62" i="23"/>
  <c r="W62" i="23"/>
  <c r="Q68" i="23"/>
  <c r="Q67" i="23" s="1"/>
  <c r="S66" i="23"/>
  <c r="AC20" i="23"/>
  <c r="AD20" i="23"/>
  <c r="A10" i="23"/>
  <c r="Q64" i="23"/>
  <c r="Q63" i="23" s="1"/>
  <c r="U61" i="23"/>
  <c r="J10" i="23"/>
  <c r="AA11" i="23"/>
  <c r="T66" i="23"/>
  <c r="A15" i="23"/>
  <c r="B15" i="23" s="1"/>
  <c r="B9" i="23"/>
  <c r="R60" i="23" s="1"/>
  <c r="J9" i="23"/>
  <c r="AB11" i="23"/>
  <c r="R66" i="23"/>
  <c r="R68" i="23"/>
  <c r="S61" i="23"/>
  <c r="C20" i="23"/>
  <c r="V70" i="23"/>
  <c r="AB20" i="23"/>
  <c r="B11" i="23"/>
  <c r="C19" i="23"/>
  <c r="U70" i="23"/>
  <c r="D11" i="23"/>
  <c r="E11" i="23" s="1"/>
  <c r="X62" i="23" s="1"/>
  <c r="G19" i="23"/>
  <c r="Y70" i="23" s="1"/>
  <c r="B19" i="23"/>
  <c r="B20" i="23"/>
  <c r="E19" i="23"/>
  <c r="X70" i="23" s="1"/>
  <c r="F11" i="23"/>
  <c r="G11" i="23" s="1"/>
  <c r="Y62" i="23" s="1"/>
  <c r="A20" i="25" l="1"/>
  <c r="C20" i="25" s="1"/>
  <c r="R61" i="24"/>
  <c r="W62" i="25"/>
  <c r="T69" i="25"/>
  <c r="V68" i="25"/>
  <c r="U68" i="25"/>
  <c r="I11" i="25"/>
  <c r="AA62" i="25" s="1"/>
  <c r="AD62" i="25" s="1"/>
  <c r="H11" i="25"/>
  <c r="Z62" i="25" s="1"/>
  <c r="A13" i="25"/>
  <c r="D11" i="25"/>
  <c r="E11" i="25" s="1"/>
  <c r="X62" i="25" s="1"/>
  <c r="J10" i="25"/>
  <c r="J9" i="25"/>
  <c r="AB11" i="25"/>
  <c r="AA11" i="25"/>
  <c r="B11" i="25"/>
  <c r="A10" i="25"/>
  <c r="A12" i="25"/>
  <c r="F11" i="25"/>
  <c r="G11" i="25" s="1"/>
  <c r="Y62" i="25" s="1"/>
  <c r="W66" i="25"/>
  <c r="AE66" i="25" s="1"/>
  <c r="S71" i="25"/>
  <c r="V61" i="25"/>
  <c r="U61" i="25"/>
  <c r="H19" i="25"/>
  <c r="Z70" i="25" s="1"/>
  <c r="I19" i="25"/>
  <c r="AA70" i="25" s="1"/>
  <c r="Q68" i="25"/>
  <c r="Q67" i="25"/>
  <c r="AD19" i="25"/>
  <c r="AC19" i="25"/>
  <c r="AA20" i="25"/>
  <c r="AB20" i="25"/>
  <c r="AA21" i="25"/>
  <c r="B21" i="25"/>
  <c r="AB21" i="25"/>
  <c r="T71" i="25"/>
  <c r="V70" i="25"/>
  <c r="U70" i="25"/>
  <c r="AC70" i="25" s="1"/>
  <c r="Q64" i="25"/>
  <c r="I15" i="25"/>
  <c r="AA66" i="25" s="1"/>
  <c r="H15" i="25"/>
  <c r="Z66" i="25" s="1"/>
  <c r="B20" i="25"/>
  <c r="AC62" i="25"/>
  <c r="T65" i="25"/>
  <c r="V64" i="25"/>
  <c r="U64" i="25"/>
  <c r="F15" i="25"/>
  <c r="G15" i="25" s="1"/>
  <c r="Y66" i="25" s="1"/>
  <c r="A17" i="25"/>
  <c r="AB15" i="25"/>
  <c r="D15" i="25"/>
  <c r="E15" i="25" s="1"/>
  <c r="X66" i="25" s="1"/>
  <c r="J13" i="25"/>
  <c r="AA15" i="25"/>
  <c r="A16" i="25"/>
  <c r="B15" i="25"/>
  <c r="J12" i="25"/>
  <c r="T63" i="25"/>
  <c r="T67" i="25"/>
  <c r="W66" i="24"/>
  <c r="AE66" i="24" s="1"/>
  <c r="I15" i="24"/>
  <c r="AA66" i="24" s="1"/>
  <c r="AD66" i="24" s="1"/>
  <c r="H15" i="24"/>
  <c r="Z66" i="24" s="1"/>
  <c r="R71" i="24"/>
  <c r="S71" i="24"/>
  <c r="Q68" i="24"/>
  <c r="Q67" i="24" s="1"/>
  <c r="U62" i="24"/>
  <c r="T64" i="24"/>
  <c r="T63" i="24" s="1"/>
  <c r="V62" i="24"/>
  <c r="T61" i="24"/>
  <c r="AA11" i="24"/>
  <c r="A10" i="24"/>
  <c r="AB11" i="24"/>
  <c r="F11" i="24"/>
  <c r="G11" i="24" s="1"/>
  <c r="Y62" i="24" s="1"/>
  <c r="C11" i="24"/>
  <c r="A13" i="24"/>
  <c r="A12" i="24" s="1"/>
  <c r="D11" i="24"/>
  <c r="E11" i="24" s="1"/>
  <c r="X62" i="24" s="1"/>
  <c r="J10" i="24"/>
  <c r="J9" i="24"/>
  <c r="H19" i="24"/>
  <c r="Z70" i="24" s="1"/>
  <c r="I19" i="24"/>
  <c r="AA70" i="24" s="1"/>
  <c r="A17" i="24"/>
  <c r="A16" i="24" s="1"/>
  <c r="AB15" i="24"/>
  <c r="D15" i="24"/>
  <c r="E15" i="24" s="1"/>
  <c r="X66" i="24" s="1"/>
  <c r="AA15" i="24"/>
  <c r="J12" i="24"/>
  <c r="J13" i="24"/>
  <c r="F15" i="24"/>
  <c r="G15" i="24" s="1"/>
  <c r="Y66" i="24" s="1"/>
  <c r="A20" i="24"/>
  <c r="F19" i="24"/>
  <c r="G19" i="24" s="1"/>
  <c r="Y70" i="24" s="1"/>
  <c r="D19" i="24"/>
  <c r="E19" i="24" s="1"/>
  <c r="X70" i="24" s="1"/>
  <c r="J15" i="24"/>
  <c r="AB19" i="24"/>
  <c r="AA19" i="24"/>
  <c r="J16" i="24"/>
  <c r="AA21" i="24"/>
  <c r="C21" i="24"/>
  <c r="AB21" i="24"/>
  <c r="B19" i="24"/>
  <c r="Q64" i="24"/>
  <c r="T71" i="24"/>
  <c r="V70" i="24"/>
  <c r="AD70" i="24" s="1"/>
  <c r="U70" i="24"/>
  <c r="B11" i="24"/>
  <c r="T68" i="24"/>
  <c r="U72" i="23"/>
  <c r="V72" i="23"/>
  <c r="A13" i="23"/>
  <c r="B13" i="23" s="1"/>
  <c r="S72" i="23"/>
  <c r="Q71" i="23"/>
  <c r="S71" i="23" s="1"/>
  <c r="AD19" i="23"/>
  <c r="AD21" i="23"/>
  <c r="AC21" i="23"/>
  <c r="T71" i="23"/>
  <c r="H11" i="23"/>
  <c r="Z62" i="23" s="1"/>
  <c r="AD62" i="23" s="1"/>
  <c r="W70" i="23"/>
  <c r="R71" i="23"/>
  <c r="S67" i="23"/>
  <c r="R67" i="23"/>
  <c r="R64" i="23"/>
  <c r="S63" i="23"/>
  <c r="R63" i="23"/>
  <c r="AB10" i="23"/>
  <c r="AA10" i="23"/>
  <c r="C10" i="23"/>
  <c r="AC70" i="23"/>
  <c r="R61" i="23"/>
  <c r="S68" i="23"/>
  <c r="Q69" i="23"/>
  <c r="D15" i="23"/>
  <c r="E15" i="23" s="1"/>
  <c r="X66" i="23" s="1"/>
  <c r="AB15" i="23"/>
  <c r="A17" i="23"/>
  <c r="A16" i="23" s="1"/>
  <c r="AA15" i="23"/>
  <c r="J13" i="23"/>
  <c r="F15" i="23"/>
  <c r="G15" i="23" s="1"/>
  <c r="Y66" i="23" s="1"/>
  <c r="C15" i="23"/>
  <c r="J12" i="23"/>
  <c r="I19" i="23"/>
  <c r="AA70" i="23" s="1"/>
  <c r="H19" i="23"/>
  <c r="Z70" i="23" s="1"/>
  <c r="AB13" i="23"/>
  <c r="AA13" i="23"/>
  <c r="C13" i="23"/>
  <c r="D13" i="23"/>
  <c r="E13" i="23" s="1"/>
  <c r="X64" i="23" s="1"/>
  <c r="A14" i="23"/>
  <c r="F13" i="23"/>
  <c r="G13" i="23" s="1"/>
  <c r="Y64" i="23" s="1"/>
  <c r="V66" i="23"/>
  <c r="T64" i="23"/>
  <c r="U66" i="23"/>
  <c r="T68" i="23"/>
  <c r="AC62" i="23"/>
  <c r="B10" i="23"/>
  <c r="A12" i="23"/>
  <c r="AC11" i="23"/>
  <c r="AD11" i="23"/>
  <c r="S64" i="23"/>
  <c r="Q65" i="23"/>
  <c r="AD66" i="25" l="1"/>
  <c r="AC66" i="25"/>
  <c r="AC66" i="24"/>
  <c r="F12" i="25"/>
  <c r="G12" i="25" s="1"/>
  <c r="Y63" i="25" s="1"/>
  <c r="AB12" i="25"/>
  <c r="D12" i="25"/>
  <c r="E12" i="25" s="1"/>
  <c r="X63" i="25" s="1"/>
  <c r="AA12" i="25"/>
  <c r="B12" i="25"/>
  <c r="C12" i="25"/>
  <c r="A14" i="25"/>
  <c r="F13" i="25"/>
  <c r="G13" i="25" s="1"/>
  <c r="Y64" i="25" s="1"/>
  <c r="B13" i="25"/>
  <c r="AB13" i="25"/>
  <c r="D13" i="25"/>
  <c r="E13" i="25" s="1"/>
  <c r="X64" i="25" s="1"/>
  <c r="AC64" i="25" s="1"/>
  <c r="AA13" i="25"/>
  <c r="C13" i="25"/>
  <c r="AD21" i="25"/>
  <c r="AC21" i="25"/>
  <c r="B10" i="25"/>
  <c r="AA10" i="25"/>
  <c r="AB10" i="25"/>
  <c r="C10" i="25"/>
  <c r="Q65" i="25"/>
  <c r="R64" i="25"/>
  <c r="S64" i="25"/>
  <c r="Q63" i="25"/>
  <c r="AD20" i="25"/>
  <c r="AC20" i="25"/>
  <c r="AC11" i="25"/>
  <c r="AD11" i="25"/>
  <c r="AD15" i="25"/>
  <c r="AC15" i="25"/>
  <c r="W64" i="25"/>
  <c r="V65" i="25"/>
  <c r="U65" i="25"/>
  <c r="AD70" i="25"/>
  <c r="W70" i="25"/>
  <c r="W68" i="25"/>
  <c r="V67" i="25"/>
  <c r="U67" i="25"/>
  <c r="V71" i="25"/>
  <c r="U71" i="25"/>
  <c r="S67" i="25"/>
  <c r="R67" i="25"/>
  <c r="V69" i="25"/>
  <c r="U69" i="25"/>
  <c r="F16" i="25"/>
  <c r="G16" i="25" s="1"/>
  <c r="Y67" i="25" s="1"/>
  <c r="AB16" i="25"/>
  <c r="D16" i="25"/>
  <c r="E16" i="25" s="1"/>
  <c r="X67" i="25" s="1"/>
  <c r="AA16" i="25"/>
  <c r="C16" i="25"/>
  <c r="B16" i="25"/>
  <c r="V63" i="25"/>
  <c r="U63" i="25"/>
  <c r="AA17" i="25"/>
  <c r="B17" i="25"/>
  <c r="A18" i="25"/>
  <c r="F17" i="25"/>
  <c r="G17" i="25" s="1"/>
  <c r="Y68" i="25" s="1"/>
  <c r="AB17" i="25"/>
  <c r="D17" i="25"/>
  <c r="E17" i="25" s="1"/>
  <c r="X68" i="25" s="1"/>
  <c r="AC68" i="25" s="1"/>
  <c r="C17" i="25"/>
  <c r="Q69" i="25"/>
  <c r="R68" i="25"/>
  <c r="S68" i="25"/>
  <c r="W70" i="24"/>
  <c r="F12" i="24"/>
  <c r="G12" i="24" s="1"/>
  <c r="Y63" i="24" s="1"/>
  <c r="AB12" i="24"/>
  <c r="D12" i="24"/>
  <c r="E12" i="24" s="1"/>
  <c r="X63" i="24" s="1"/>
  <c r="AA12" i="24"/>
  <c r="B12" i="24"/>
  <c r="C12" i="24"/>
  <c r="S67" i="24"/>
  <c r="R67" i="24"/>
  <c r="AC62" i="24"/>
  <c r="W62" i="24"/>
  <c r="V71" i="24"/>
  <c r="U71" i="24"/>
  <c r="AD19" i="24"/>
  <c r="AC19" i="24"/>
  <c r="F16" i="24"/>
  <c r="G16" i="24" s="1"/>
  <c r="Y67" i="24" s="1"/>
  <c r="AB16" i="24"/>
  <c r="D16" i="24"/>
  <c r="E16" i="24" s="1"/>
  <c r="X67" i="24" s="1"/>
  <c r="AA16" i="24"/>
  <c r="B16" i="24"/>
  <c r="C16" i="24"/>
  <c r="C10" i="24"/>
  <c r="AB10" i="24"/>
  <c r="AA10" i="24"/>
  <c r="B10" i="24"/>
  <c r="V63" i="24"/>
  <c r="U63" i="24"/>
  <c r="AC63" i="24" s="1"/>
  <c r="Q65" i="24"/>
  <c r="R64" i="24"/>
  <c r="S64" i="24"/>
  <c r="Q63" i="24"/>
  <c r="AD11" i="24"/>
  <c r="AC11" i="24"/>
  <c r="Q69" i="24"/>
  <c r="S68" i="24"/>
  <c r="R68" i="24"/>
  <c r="AD15" i="24"/>
  <c r="AC15" i="24"/>
  <c r="A14" i="24"/>
  <c r="F13" i="24"/>
  <c r="G13" i="24" s="1"/>
  <c r="Y64" i="24" s="1"/>
  <c r="AB13" i="24"/>
  <c r="D13" i="24"/>
  <c r="E13" i="24" s="1"/>
  <c r="X64" i="24" s="1"/>
  <c r="AA13" i="24"/>
  <c r="B13" i="24"/>
  <c r="C13" i="24"/>
  <c r="V61" i="24"/>
  <c r="U61" i="24"/>
  <c r="T69" i="24"/>
  <c r="V68" i="24"/>
  <c r="U68" i="24"/>
  <c r="T67" i="24"/>
  <c r="I11" i="24"/>
  <c r="AA62" i="24" s="1"/>
  <c r="H11" i="24"/>
  <c r="Z62" i="24" s="1"/>
  <c r="AD62" i="24"/>
  <c r="AC70" i="24"/>
  <c r="AD21" i="24"/>
  <c r="AC21" i="24"/>
  <c r="AB20" i="24"/>
  <c r="B20" i="24"/>
  <c r="AA20" i="24"/>
  <c r="C20" i="24"/>
  <c r="AA17" i="24"/>
  <c r="A18" i="24"/>
  <c r="F17" i="24"/>
  <c r="G17" i="24" s="1"/>
  <c r="Y68" i="24" s="1"/>
  <c r="D17" i="24"/>
  <c r="E17" i="24" s="1"/>
  <c r="X68" i="24" s="1"/>
  <c r="AB17" i="24"/>
  <c r="B17" i="24"/>
  <c r="C17" i="24"/>
  <c r="T65" i="24"/>
  <c r="V64" i="24"/>
  <c r="U64" i="24"/>
  <c r="AD70" i="23"/>
  <c r="V71" i="23"/>
  <c r="U71" i="23"/>
  <c r="AC66" i="23"/>
  <c r="AA16" i="23"/>
  <c r="C16" i="23"/>
  <c r="D16" i="23"/>
  <c r="E16" i="23" s="1"/>
  <c r="X67" i="23" s="1"/>
  <c r="AB16" i="23"/>
  <c r="F16" i="23"/>
  <c r="G16" i="23" s="1"/>
  <c r="Y67" i="23" s="1"/>
  <c r="B16" i="23"/>
  <c r="S65" i="23"/>
  <c r="R65" i="23"/>
  <c r="W66" i="23"/>
  <c r="AE66" i="23" s="1"/>
  <c r="I13" i="23"/>
  <c r="AA64" i="23" s="1"/>
  <c r="H13" i="23"/>
  <c r="Z64" i="23" s="1"/>
  <c r="U64" i="23"/>
  <c r="AC64" i="23" s="1"/>
  <c r="V64" i="23"/>
  <c r="T65" i="23"/>
  <c r="T63" i="23"/>
  <c r="AD10" i="23"/>
  <c r="AC10" i="23"/>
  <c r="T69" i="23"/>
  <c r="V68" i="23"/>
  <c r="U68" i="23"/>
  <c r="D12" i="23"/>
  <c r="E12" i="23" s="1"/>
  <c r="X63" i="23" s="1"/>
  <c r="AA12" i="23"/>
  <c r="C12" i="23"/>
  <c r="F12" i="23"/>
  <c r="G12" i="23" s="1"/>
  <c r="Y63" i="23" s="1"/>
  <c r="AB12" i="23"/>
  <c r="B12" i="23"/>
  <c r="AD15" i="23"/>
  <c r="AC15" i="23"/>
  <c r="AC13" i="23"/>
  <c r="AD13" i="23"/>
  <c r="F14" i="23"/>
  <c r="G14" i="23" s="1"/>
  <c r="Y65" i="23" s="1"/>
  <c r="AA14" i="23"/>
  <c r="C14" i="23"/>
  <c r="D14" i="23"/>
  <c r="E14" i="23" s="1"/>
  <c r="X65" i="23" s="1"/>
  <c r="AB14" i="23"/>
  <c r="B14" i="23"/>
  <c r="I15" i="23"/>
  <c r="AA66" i="23" s="1"/>
  <c r="AD66" i="23" s="1"/>
  <c r="H15" i="23"/>
  <c r="Z66" i="23" s="1"/>
  <c r="S69" i="23"/>
  <c r="R69" i="23"/>
  <c r="D17" i="23"/>
  <c r="E17" i="23" s="1"/>
  <c r="X68" i="23" s="1"/>
  <c r="AA17" i="23"/>
  <c r="F17" i="23"/>
  <c r="G17" i="23" s="1"/>
  <c r="Y68" i="23" s="1"/>
  <c r="A18" i="23"/>
  <c r="C17" i="23"/>
  <c r="AB17" i="23"/>
  <c r="B17" i="23"/>
  <c r="T67" i="23"/>
  <c r="AC63" i="25" l="1"/>
  <c r="AC64" i="24"/>
  <c r="W63" i="25"/>
  <c r="H16" i="25"/>
  <c r="Z67" i="25" s="1"/>
  <c r="AD67" i="25" s="1"/>
  <c r="I16" i="25"/>
  <c r="AA67" i="25" s="1"/>
  <c r="AB14" i="25"/>
  <c r="D14" i="25"/>
  <c r="E14" i="25" s="1"/>
  <c r="X65" i="25" s="1"/>
  <c r="AA14" i="25"/>
  <c r="F14" i="25"/>
  <c r="G14" i="25" s="1"/>
  <c r="Y65" i="25" s="1"/>
  <c r="C14" i="25"/>
  <c r="B14" i="25"/>
  <c r="D18" i="25"/>
  <c r="E18" i="25" s="1"/>
  <c r="X69" i="25" s="1"/>
  <c r="AC69" i="25" s="1"/>
  <c r="AB18" i="25"/>
  <c r="AA18" i="25"/>
  <c r="F18" i="25"/>
  <c r="G18" i="25" s="1"/>
  <c r="Y69" i="25" s="1"/>
  <c r="B18" i="25"/>
  <c r="C18" i="25"/>
  <c r="AD16" i="25"/>
  <c r="AC16" i="25"/>
  <c r="R65" i="25"/>
  <c r="S65" i="25"/>
  <c r="H12" i="25"/>
  <c r="Z63" i="25" s="1"/>
  <c r="I12" i="25"/>
  <c r="AA63" i="25" s="1"/>
  <c r="AD63" i="25" s="1"/>
  <c r="I13" i="25"/>
  <c r="AA64" i="25" s="1"/>
  <c r="AD64" i="25" s="1"/>
  <c r="H13" i="25"/>
  <c r="Z64" i="25" s="1"/>
  <c r="AD17" i="25"/>
  <c r="AC17" i="25"/>
  <c r="AC65" i="25"/>
  <c r="AD13" i="25"/>
  <c r="AC13" i="25"/>
  <c r="AD12" i="25"/>
  <c r="AC12" i="25"/>
  <c r="R69" i="25"/>
  <c r="S69" i="25"/>
  <c r="AC67" i="25"/>
  <c r="I17" i="25"/>
  <c r="AA68" i="25" s="1"/>
  <c r="H17" i="25"/>
  <c r="Z68" i="25" s="1"/>
  <c r="W69" i="25"/>
  <c r="W65" i="25"/>
  <c r="AD10" i="25"/>
  <c r="AC10" i="25"/>
  <c r="W67" i="25"/>
  <c r="R63" i="25"/>
  <c r="S63" i="25"/>
  <c r="W68" i="24"/>
  <c r="AB18" i="24"/>
  <c r="D18" i="24"/>
  <c r="E18" i="24" s="1"/>
  <c r="X69" i="24" s="1"/>
  <c r="AA18" i="24"/>
  <c r="F18" i="24"/>
  <c r="G18" i="24" s="1"/>
  <c r="Y69" i="24" s="1"/>
  <c r="B18" i="24"/>
  <c r="C18" i="24"/>
  <c r="V69" i="24"/>
  <c r="U69" i="24"/>
  <c r="AB14" i="24"/>
  <c r="B14" i="24"/>
  <c r="F14" i="24"/>
  <c r="G14" i="24" s="1"/>
  <c r="Y65" i="24" s="1"/>
  <c r="AA14" i="24"/>
  <c r="D14" i="24"/>
  <c r="E14" i="24" s="1"/>
  <c r="X65" i="24" s="1"/>
  <c r="C14" i="24"/>
  <c r="AD10" i="24"/>
  <c r="AC10" i="24"/>
  <c r="V65" i="24"/>
  <c r="U65" i="24"/>
  <c r="I12" i="24"/>
  <c r="AA63" i="24" s="1"/>
  <c r="H12" i="24"/>
  <c r="Z63" i="24" s="1"/>
  <c r="W64" i="24"/>
  <c r="AD17" i="24"/>
  <c r="AC17" i="24"/>
  <c r="R63" i="24"/>
  <c r="S63" i="24"/>
  <c r="AD20" i="24"/>
  <c r="AC20" i="24"/>
  <c r="I13" i="24"/>
  <c r="AA64" i="24" s="1"/>
  <c r="AD64" i="24" s="1"/>
  <c r="H13" i="24"/>
  <c r="Z64" i="24" s="1"/>
  <c r="H17" i="24"/>
  <c r="Z68" i="24" s="1"/>
  <c r="I17" i="24"/>
  <c r="AA68" i="24" s="1"/>
  <c r="V67" i="24"/>
  <c r="U67" i="24"/>
  <c r="AC67" i="24" s="1"/>
  <c r="R65" i="24"/>
  <c r="S65" i="24"/>
  <c r="H16" i="24"/>
  <c r="Z67" i="24" s="1"/>
  <c r="I16" i="24"/>
  <c r="AA67" i="24" s="1"/>
  <c r="AC12" i="24"/>
  <c r="AD12" i="24"/>
  <c r="AC68" i="24"/>
  <c r="AD13" i="24"/>
  <c r="AC13" i="24"/>
  <c r="W63" i="24"/>
  <c r="R69" i="24"/>
  <c r="S69" i="24"/>
  <c r="AD16" i="24"/>
  <c r="AC16" i="24"/>
  <c r="AD64" i="23"/>
  <c r="W64" i="23"/>
  <c r="I17" i="23"/>
  <c r="AA68" i="23" s="1"/>
  <c r="H17" i="23"/>
  <c r="Z68" i="23" s="1"/>
  <c r="AD68" i="23" s="1"/>
  <c r="AD12" i="23"/>
  <c r="AC12" i="23"/>
  <c r="U63" i="23"/>
  <c r="AC63" i="23" s="1"/>
  <c r="V63" i="23"/>
  <c r="AC68" i="23"/>
  <c r="W68" i="23"/>
  <c r="V65" i="23"/>
  <c r="U65" i="23"/>
  <c r="AC65" i="23" s="1"/>
  <c r="AD17" i="23"/>
  <c r="AC17" i="23"/>
  <c r="H14" i="23"/>
  <c r="Z65" i="23" s="1"/>
  <c r="I14" i="23"/>
  <c r="AA65" i="23" s="1"/>
  <c r="U67" i="23"/>
  <c r="AC67" i="23" s="1"/>
  <c r="V67" i="23"/>
  <c r="AC14" i="23"/>
  <c r="AD14" i="23"/>
  <c r="U69" i="23"/>
  <c r="V69" i="23"/>
  <c r="AA18" i="23"/>
  <c r="D18" i="23"/>
  <c r="E18" i="23" s="1"/>
  <c r="X69" i="23" s="1"/>
  <c r="C18" i="23"/>
  <c r="F18" i="23"/>
  <c r="G18" i="23" s="1"/>
  <c r="Y69" i="23" s="1"/>
  <c r="AB18" i="23"/>
  <c r="B18" i="23"/>
  <c r="I16" i="23"/>
  <c r="AA67" i="23" s="1"/>
  <c r="H16" i="23"/>
  <c r="Z67" i="23" s="1"/>
  <c r="H12" i="23"/>
  <c r="Z63" i="23" s="1"/>
  <c r="I12" i="23"/>
  <c r="AA63" i="23" s="1"/>
  <c r="AD16" i="23"/>
  <c r="AC16" i="23"/>
  <c r="AD63" i="24" l="1"/>
  <c r="AD68" i="24"/>
  <c r="I14" i="25"/>
  <c r="AA65" i="25" s="1"/>
  <c r="H14" i="25"/>
  <c r="Z65" i="25" s="1"/>
  <c r="I18" i="25"/>
  <c r="AA69" i="25" s="1"/>
  <c r="H18" i="25"/>
  <c r="Z69" i="25" s="1"/>
  <c r="AC14" i="25"/>
  <c r="AD14" i="25"/>
  <c r="AD68" i="25"/>
  <c r="AD18" i="25"/>
  <c r="AC18" i="25"/>
  <c r="W69" i="24"/>
  <c r="I14" i="24"/>
  <c r="AA65" i="24" s="1"/>
  <c r="H14" i="24"/>
  <c r="Z65" i="24" s="1"/>
  <c r="AC65" i="24"/>
  <c r="I18" i="24"/>
  <c r="AA69" i="24" s="1"/>
  <c r="AD69" i="24" s="1"/>
  <c r="H18" i="24"/>
  <c r="Z69" i="24" s="1"/>
  <c r="AD67" i="24"/>
  <c r="AD18" i="24"/>
  <c r="AC18" i="24"/>
  <c r="W67" i="24"/>
  <c r="W65" i="24"/>
  <c r="AD14" i="24"/>
  <c r="AC14" i="24"/>
  <c r="AC69" i="24"/>
  <c r="AD63" i="23"/>
  <c r="AC69" i="23"/>
  <c r="W63" i="23"/>
  <c r="AD67" i="23"/>
  <c r="W65" i="23"/>
  <c r="I18" i="23"/>
  <c r="AA69" i="23" s="1"/>
  <c r="AD69" i="23" s="1"/>
  <c r="H18" i="23"/>
  <c r="Z69" i="23" s="1"/>
  <c r="W67" i="23"/>
  <c r="AD65" i="23"/>
  <c r="AC18" i="23"/>
  <c r="AD18" i="23"/>
  <c r="W69" i="23"/>
  <c r="AD65" i="24" l="1"/>
  <c r="AD69" i="25"/>
  <c r="AD65" i="25"/>
</calcChain>
</file>

<file path=xl/sharedStrings.xml><?xml version="1.0" encoding="utf-8"?>
<sst xmlns="http://schemas.openxmlformats.org/spreadsheetml/2006/main" count="843" uniqueCount="219">
  <si>
    <t>BRAND</t>
  </si>
  <si>
    <t>NUM_STAGES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</si>
  <si>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</si>
  <si>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</si>
  <si>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</si>
  <si>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</si>
  <si>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</si>
  <si>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</si>
  <si>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</si>
  <si>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</si>
  <si>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</si>
  <si>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</si>
  <si>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</si>
  <si>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</si>
  <si>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SERIES</t>
  </si>
  <si>
    <t>STAGE NAME</t>
  </si>
  <si>
    <t>SHAFT DIA.</t>
  </si>
  <si>
    <t>STANDARD
SHAFT HP
HP/3500rpm</t>
  </si>
  <si>
    <t>HIGH STRENGTH
SHAFT HP
HP/3500rpm</t>
  </si>
  <si>
    <t>ULTRA HIGH STRENGTH
SHAFT HP
HP/3500rpm</t>
  </si>
  <si>
    <t>HOUSING BURST PRESSURE
[PSI]</t>
  </si>
  <si>
    <t>HOUSING OD</t>
  </si>
  <si>
    <t>TDH
at no flow [ft]</t>
  </si>
  <si>
    <t xml:space="preserve"> min recom.
FLOW
[BPD]</t>
  </si>
  <si>
    <t>TDH
at min. flow
[ft]</t>
  </si>
  <si>
    <t>BHP
at min. flow [HP]</t>
  </si>
  <si>
    <t>BHP
at no flow [HP]</t>
  </si>
  <si>
    <t>Flow at
BEP
[BPD]</t>
  </si>
  <si>
    <t>TDH
at BEP
[ft]</t>
  </si>
  <si>
    <t>BHP
at BEP
[HP]</t>
  </si>
  <si>
    <t>eff.
at BEP
[%]</t>
  </si>
  <si>
    <t xml:space="preserve"> max recom.
FLOW
[BPD]</t>
  </si>
  <si>
    <t>TDH
at max.
flow
[ft]</t>
  </si>
  <si>
    <t>BHP
at max
flow
[HP]</t>
  </si>
  <si>
    <t>Max Curve
Rate
[BPD]</t>
  </si>
  <si>
    <t>COMMENTS:</t>
  </si>
  <si>
    <t>Max THRUST
at no flow per stage
[lbf]</t>
  </si>
  <si>
    <t>STAGE
TYPE</t>
  </si>
  <si>
    <t xml:space="preserve">HEAD COEFFICIENTS for ONE STAGE
based on operating speed of 3500[rpm], SG=1, viscosity 1cP,
FLOW in [BPD] as a variable for HEAD calculation </t>
  </si>
  <si>
    <t xml:space="preserve">BHP COEFFICIENTS for ONE STAGE
based on operating speed of 3500[rpm], SG=1, viscosity 1cP,
FLOW in [BPD] as a variable for BHP calculation </t>
  </si>
  <si>
    <t>CT1</t>
  </si>
  <si>
    <t>CT2</t>
  </si>
  <si>
    <t>CT3</t>
  </si>
  <si>
    <t>CT4</t>
  </si>
  <si>
    <t>CT5</t>
  </si>
  <si>
    <t>CT6</t>
  </si>
  <si>
    <t xml:space="preserve">THRUST COEFFICIENTS for ONE STAGE
based on operating speed of 3500[rpm], SG=1, viscosity 1cP,
FLOW in [BPD] as a variable for THRUST [lbf] calculation 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</si>
  <si>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</si>
  <si>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</si>
  <si>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</si>
  <si>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</si>
  <si>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</si>
  <si>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</si>
  <si>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</si>
  <si>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</si>
  <si>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</si>
  <si>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</si>
  <si>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</si>
  <si>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</si>
  <si>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</si>
  <si>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</si>
  <si>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</si>
  <si>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</si>
  <si>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</si>
  <si>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</si>
  <si>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NPSHr [ft]
3500 rpm
SG=1</t>
  </si>
  <si>
    <t>VOLUME CORRECTION POLINOMIAL
AS A FUNCTION OF VISCOSITY (cP)
max 200cP</t>
  </si>
  <si>
    <t>HEAD CORRECTION POLINOMIAL
AS A FUNCTION OF VISCOSITY (cP)
max. 200cP</t>
  </si>
  <si>
    <t>BHP CORRECTION POLINOMIAL
AS A FUNCTION OF VISCOSITY (cP)
max. 200cP</t>
  </si>
  <si>
    <t>COMMENTS</t>
  </si>
  <si>
    <t>FLOW</t>
  </si>
  <si>
    <t>bpd</t>
  </si>
  <si>
    <t>TDH</t>
  </si>
  <si>
    <t>ft</t>
  </si>
  <si>
    <t>POWER</t>
  </si>
  <si>
    <t>hp</t>
  </si>
  <si>
    <t>catalog curve</t>
  </si>
  <si>
    <t>API limits</t>
  </si>
  <si>
    <t>FLOW -5%</t>
  </si>
  <si>
    <t>TDH -5%</t>
  </si>
  <si>
    <t>FLOW +5%</t>
  </si>
  <si>
    <t>TDH +5%</t>
  </si>
  <si>
    <t>POWER -8%</t>
  </si>
  <si>
    <t>POWER +8%</t>
  </si>
  <si>
    <t>API limits curves generator</t>
  </si>
  <si>
    <t>TDH upper limit
for flow from columne A</t>
  </si>
  <si>
    <t>TDH lower limit
for flow from columne A</t>
  </si>
  <si>
    <t>corrected to 3500rpm, SG=1</t>
  </si>
  <si>
    <t>test curve</t>
  </si>
  <si>
    <t>kW</t>
  </si>
  <si>
    <t>test curve from coeff.</t>
  </si>
  <si>
    <t>EFF (-10%)</t>
  </si>
  <si>
    <t>%</t>
  </si>
  <si>
    <t>EFFICIENCY</t>
  </si>
  <si>
    <t>TEST RESULTS PER CATEGORY</t>
  </si>
  <si>
    <t>minimum</t>
  </si>
  <si>
    <t>BEP</t>
  </si>
  <si>
    <t>maximum</t>
  </si>
  <si>
    <t>min</t>
  </si>
  <si>
    <t>max</t>
  </si>
  <si>
    <t>modified from last catalog</t>
  </si>
  <si>
    <t>new stage</t>
  </si>
  <si>
    <t>NUMBER
STAGES</t>
  </si>
  <si>
    <t>TDH0</t>
  </si>
  <si>
    <t>BHP0</t>
  </si>
  <si>
    <t>BPDMIN</t>
  </si>
  <si>
    <t>TDHMIN</t>
  </si>
  <si>
    <t>BHPMIN</t>
  </si>
  <si>
    <t>BPDBEP</t>
  </si>
  <si>
    <t>TDHBEP</t>
  </si>
  <si>
    <t>BHPBEP</t>
  </si>
  <si>
    <t>BPDMAX</t>
  </si>
  <si>
    <t>TDHMAX</t>
  </si>
  <si>
    <t>BHPMAX</t>
  </si>
  <si>
    <t>TEST BENCH SETTING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</si>
  <si>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</si>
  <si>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</si>
  <si>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</si>
  <si>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</si>
  <si>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</si>
  <si>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</si>
  <si>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</si>
  <si>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</si>
  <si>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</si>
  <si>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</si>
  <si>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</si>
  <si>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</si>
  <si>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</si>
  <si>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</si>
  <si>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</si>
  <si>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</si>
  <si>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</si>
  <si>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</si>
  <si>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efficiency</t>
  </si>
  <si>
    <t>CAI test</t>
  </si>
  <si>
    <t>EFF</t>
  </si>
  <si>
    <t>ODI</t>
  </si>
  <si>
    <t>RC12</t>
  </si>
  <si>
    <t>ODI RC12 400 series stage</t>
  </si>
  <si>
    <t>PRESSURE</t>
  </si>
  <si>
    <t>m3/d</t>
  </si>
  <si>
    <t>MPa</t>
  </si>
  <si>
    <t>TEST SPEED</t>
  </si>
  <si>
    <t>rpm</t>
  </si>
  <si>
    <t>TORQUE</t>
  </si>
  <si>
    <t>Nm</t>
  </si>
  <si>
    <t>HP supplied</t>
  </si>
  <si>
    <t>HP alarm</t>
  </si>
  <si>
    <t>Test data provided by PREMIER</t>
  </si>
  <si>
    <t>test data for #stages</t>
  </si>
  <si>
    <t>SG</t>
  </si>
  <si>
    <t>HP calculated</t>
  </si>
  <si>
    <t>for 0.1% difference</t>
  </si>
  <si>
    <t>FLOW calculated</t>
  </si>
  <si>
    <t>FLOW provided</t>
  </si>
  <si>
    <t>FLOW alarm</t>
  </si>
  <si>
    <t>TDH calculated</t>
  </si>
  <si>
    <t>TDH provided</t>
  </si>
  <si>
    <t>TDH alarm</t>
  </si>
  <si>
    <t>HP</t>
  </si>
  <si>
    <t>POWER calculated</t>
  </si>
  <si>
    <t>POWER provided</t>
  </si>
  <si>
    <t>POWER alarm</t>
  </si>
  <si>
    <t>for 0.5% difference</t>
  </si>
  <si>
    <t>test coefficients (bpd, ft, HP corrected to 3500rpm) from best fit for cctd test data provided by PREMIER</t>
  </si>
  <si>
    <t>RC12 "A" 26.2mm</t>
  </si>
  <si>
    <t>RC12 "B" ORIGINAL LENGTH</t>
  </si>
  <si>
    <t>RC12 "C" 25.6mm</t>
  </si>
  <si>
    <t>catalog curve TDH</t>
  </si>
  <si>
    <t>RC12 "A" 26.2mm TDH</t>
  </si>
  <si>
    <t>RC12 "B" ORIGINAL LENGTH TDH</t>
  </si>
  <si>
    <t>RC12 "C" 25.6mm TDH</t>
  </si>
  <si>
    <t>catalog curve POWER</t>
  </si>
  <si>
    <t>RC12 "A" 26.2mm POWER</t>
  </si>
  <si>
    <t>RC12 "B" ORIGINAL LENGTH POWER</t>
  </si>
  <si>
    <t>RC12 "C" 25.6mm POWER</t>
  </si>
  <si>
    <t>catalog curve EFF</t>
  </si>
  <si>
    <t>RC12 "A" 26.2mm EFF</t>
  </si>
  <si>
    <t>RC12 "B" ORIGINAL LENGTH EFF</t>
  </si>
  <si>
    <t>RC12 "C" 25.6mm EFF</t>
  </si>
  <si>
    <t>OD test</t>
  </si>
  <si>
    <t>OD test coefficients</t>
  </si>
  <si>
    <t>CF0</t>
  </si>
  <si>
    <t>CF1</t>
  </si>
  <si>
    <t>CF2</t>
  </si>
  <si>
    <t>CF3</t>
  </si>
  <si>
    <t>CF4</t>
  </si>
  <si>
    <t>CF5</t>
  </si>
  <si>
    <t>CP0</t>
  </si>
  <si>
    <t>CH0</t>
  </si>
  <si>
    <r>
      <t xml:space="preserve">corrected to 3500rpm, SG=1 and 1 stage  </t>
    </r>
    <r>
      <rPr>
        <b/>
        <sz val="10"/>
        <color rgb="FFFF0000"/>
        <rFont val="MS Sans Serif"/>
      </rPr>
      <t>(Substract 0.135MPa for Intake Pressure in HEAD calculations if ditailed intake pressure is not provided)</t>
    </r>
  </si>
  <si>
    <t>RC12 final test July 26</t>
  </si>
  <si>
    <t>RC12 final EFF</t>
  </si>
  <si>
    <t>RC12 final POWER</t>
  </si>
  <si>
    <t>RC12 final TDH</t>
  </si>
  <si>
    <t>provided</t>
  </si>
  <si>
    <t>calculated</t>
  </si>
  <si>
    <r>
      <t>y = 6.8360412E-15x</t>
    </r>
    <r>
      <rPr>
        <vertAlign val="superscript"/>
        <sz val="9"/>
        <color rgb="FF595959"/>
        <rFont val="MS Sans Serif"/>
      </rPr>
      <t>5</t>
    </r>
    <r>
      <rPr>
        <sz val="9"/>
        <color rgb="FF595959"/>
        <rFont val="MS Sans Serif"/>
      </rPr>
      <t xml:space="preserve"> - 5.8559167E-11x</t>
    </r>
    <r>
      <rPr>
        <vertAlign val="superscript"/>
        <sz val="9"/>
        <color rgb="FF595959"/>
        <rFont val="MS Sans Serif"/>
      </rPr>
      <t>4</t>
    </r>
    <r>
      <rPr>
        <sz val="9"/>
        <color rgb="FF595959"/>
        <rFont val="MS Sans Serif"/>
      </rPr>
      <t xml:space="preserve"> + 1.2154108E-07x</t>
    </r>
    <r>
      <rPr>
        <vertAlign val="superscript"/>
        <sz val="9"/>
        <color rgb="FF595959"/>
        <rFont val="MS Sans Serif"/>
      </rPr>
      <t>3</t>
    </r>
    <r>
      <rPr>
        <sz val="9"/>
        <color rgb="FF595959"/>
        <rFont val="MS Sans Serif"/>
      </rPr>
      <t xml:space="preserve"> - 1.2815530E-04x</t>
    </r>
    <r>
      <rPr>
        <vertAlign val="superscript"/>
        <sz val="9"/>
        <color rgb="FF595959"/>
        <rFont val="MS Sans Serif"/>
      </rPr>
      <t>2</t>
    </r>
    <r>
      <rPr>
        <sz val="9"/>
        <color rgb="FF595959"/>
        <rFont val="MS Sans Serif"/>
      </rPr>
      <t xml:space="preserve"> + 1.1889272E-01x - 1.5410911E-02</t>
    </r>
  </si>
  <si>
    <t>od_gmbh</t>
  </si>
  <si>
    <t>bep</t>
  </si>
  <si>
    <t>h0</t>
  </si>
  <si>
    <t>h1</t>
  </si>
  <si>
    <t>h2</t>
  </si>
  <si>
    <t>h3</t>
  </si>
  <si>
    <t>h4</t>
  </si>
  <si>
    <t>h5</t>
  </si>
  <si>
    <t>p0</t>
  </si>
  <si>
    <t>p1</t>
  </si>
  <si>
    <t>p2</t>
  </si>
  <si>
    <t>p3</t>
  </si>
  <si>
    <t>p4</t>
  </si>
  <si>
    <t>p5</t>
  </si>
  <si>
    <t>Q</t>
  </si>
  <si>
    <t>H</t>
  </si>
  <si>
    <t>P</t>
  </si>
  <si>
    <t>E</t>
  </si>
  <si>
    <t>Catalog</t>
  </si>
  <si>
    <t>338-1450</t>
  </si>
  <si>
    <t>point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</si>
</sst>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E+00"/>
    <numFmt numFmtId="166" formatCode="0.000"/>
    <numFmt numFmtId="167" formatCode="0.0"/>
    <numFmt numFmtId="168" formatCode="0.0000000E+00"/>
  </numFmts>
  <fonts count="16" x14ac:knownFonts="1">
    <font>
      <sz val="10"/>
      <name val="MS Sans Serif"/>
    </font>
    <font>
      <b/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color indexed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b/>
      <sz val="24"/>
      <name val="MS Sans Serif"/>
      <family val="2"/>
    </font>
    <font>
      <b/>
      <sz val="10"/>
      <color rgb="FF00B050"/>
      <name val="MS Sans Serif"/>
    </font>
    <font>
      <b/>
      <sz val="10"/>
      <color rgb="FFFF0000"/>
      <name val="MS Sans Serif"/>
    </font>
    <font>
      <sz val="10"/>
      <color rgb="FFFF0000"/>
      <name val="MS Sans Serif"/>
    </font>
    <font>
      <sz val="9"/>
      <color rgb="FF595959"/>
      <name val="MS Sans Serif"/>
    </font>
    <font>
      <vertAlign val="superscript"/>
      <sz val="9"/>
      <color rgb="FF595959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applyNumberFormat="1" applyFont="1" applyFill="1" applyBorder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3" xfId="0" quotePrefix="1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 wrapText="1"/>
    </xf>
    <xf numFmtId="164" fontId="0" fillId="0" borderId="3" xfId="0" quotePrefix="1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1" fontId="0" fillId="0" borderId="3" xfId="0" quotePrefix="1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0" borderId="3" xfId="0" quotePrefix="1" applyNumberFormat="1" applyBorder="1" applyAlignment="1">
      <alignment horizontal="center"/>
    </xf>
    <xf numFmtId="165" fontId="6" fillId="0" borderId="1" xfId="0" applyNumberFormat="1" applyFont="1" applyFill="1" applyBorder="1"/>
    <xf numFmtId="0" fontId="6" fillId="0" borderId="1" xfId="0" applyFont="1" applyFill="1" applyBorder="1"/>
    <xf numFmtId="165" fontId="7" fillId="0" borderId="1" xfId="0" applyNumberFormat="1" applyFont="1" applyFill="1" applyBorder="1"/>
    <xf numFmtId="0" fontId="7" fillId="0" borderId="0" xfId="0" applyFont="1" applyFill="1"/>
    <xf numFmtId="0" fontId="7" fillId="0" borderId="1" xfId="0" quotePrefix="1" applyNumberFormat="1" applyFont="1" applyFill="1" applyBorder="1"/>
    <xf numFmtId="0" fontId="7" fillId="0" borderId="1" xfId="0" quotePrefix="1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center"/>
    </xf>
    <xf numFmtId="164" fontId="7" fillId="0" borderId="1" xfId="0" quotePrefix="1" applyNumberFormat="1" applyFont="1" applyFill="1" applyBorder="1"/>
    <xf numFmtId="1" fontId="7" fillId="0" borderId="1" xfId="0" quotePrefix="1" applyNumberFormat="1" applyFont="1" applyFill="1" applyBorder="1"/>
    <xf numFmtId="167" fontId="7" fillId="0" borderId="1" xfId="0" quotePrefix="1" applyNumberFormat="1" applyFont="1" applyFill="1" applyBorder="1" applyAlignment="1">
      <alignment horizontal="center"/>
    </xf>
    <xf numFmtId="11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165" fontId="0" fillId="2" borderId="0" xfId="0" applyNumberFormat="1" applyFill="1"/>
    <xf numFmtId="164" fontId="0" fillId="2" borderId="1" xfId="0" applyNumberFormat="1" applyFill="1" applyBorder="1"/>
    <xf numFmtId="0" fontId="0" fillId="2" borderId="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164" fontId="0" fillId="0" borderId="7" xfId="0" applyNumberFormat="1" applyBorder="1"/>
    <xf numFmtId="1" fontId="0" fillId="2" borderId="13" xfId="0" applyNumberFormat="1" applyFill="1" applyBorder="1"/>
    <xf numFmtId="164" fontId="0" fillId="0" borderId="12" xfId="0" applyNumberFormat="1" applyBorder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/>
    <xf numFmtId="0" fontId="8" fillId="0" borderId="17" xfId="0" applyFont="1" applyBorder="1" applyAlignment="1"/>
    <xf numFmtId="0" fontId="0" fillId="0" borderId="18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9" xfId="0" quotePrefix="1" applyNumberFormat="1" applyBorder="1" applyAlignment="1">
      <alignment horizontal="center"/>
    </xf>
    <xf numFmtId="165" fontId="0" fillId="0" borderId="20" xfId="0" quotePrefix="1" applyNumberFormat="1" applyBorder="1" applyAlignment="1">
      <alignment horizontal="center"/>
    </xf>
    <xf numFmtId="165" fontId="0" fillId="0" borderId="21" xfId="0" quotePrefix="1" applyNumberFormat="1" applyBorder="1" applyAlignment="1">
      <alignment horizontal="center"/>
    </xf>
    <xf numFmtId="165" fontId="0" fillId="0" borderId="9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165" fontId="0" fillId="0" borderId="10" xfId="0" applyNumberFormat="1" applyBorder="1"/>
    <xf numFmtId="165" fontId="0" fillId="0" borderId="11" xfId="0" applyNumberFormat="1" applyBorder="1"/>
    <xf numFmtId="165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/>
    <xf numFmtId="165" fontId="0" fillId="0" borderId="0" xfId="0" applyNumberFormat="1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23" xfId="0" applyNumberFormat="1" applyBorder="1"/>
    <xf numFmtId="165" fontId="0" fillId="0" borderId="0" xfId="0" quotePrefix="1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7" fontId="0" fillId="2" borderId="26" xfId="0" applyNumberFormat="1" applyFill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7" fontId="0" fillId="2" borderId="30" xfId="0" applyNumberFormat="1" applyFill="1" applyBorder="1"/>
    <xf numFmtId="165" fontId="0" fillId="0" borderId="18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9" fillId="0" borderId="27" xfId="0" applyFont="1" applyBorder="1"/>
    <xf numFmtId="0" fontId="9" fillId="0" borderId="28" xfId="0" applyFont="1" applyBorder="1"/>
    <xf numFmtId="165" fontId="9" fillId="0" borderId="13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/>
    <xf numFmtId="165" fontId="9" fillId="0" borderId="15" xfId="0" applyNumberFormat="1" applyFont="1" applyBorder="1"/>
    <xf numFmtId="165" fontId="9" fillId="0" borderId="31" xfId="0" applyNumberFormat="1" applyFont="1" applyBorder="1"/>
    <xf numFmtId="165" fontId="9" fillId="0" borderId="32" xfId="0" applyNumberFormat="1" applyFont="1" applyBorder="1"/>
    <xf numFmtId="165" fontId="9" fillId="0" borderId="16" xfId="0" applyNumberFormat="1" applyFont="1" applyBorder="1"/>
    <xf numFmtId="165" fontId="9" fillId="0" borderId="33" xfId="0" applyNumberFormat="1" applyFont="1" applyBorder="1"/>
    <xf numFmtId="165" fontId="9" fillId="0" borderId="34" xfId="0" applyNumberFormat="1" applyFont="1" applyBorder="1"/>
    <xf numFmtId="165" fontId="0" fillId="0" borderId="35" xfId="0" applyNumberFormat="1" applyBorder="1"/>
    <xf numFmtId="165" fontId="0" fillId="0" borderId="36" xfId="0" applyNumberFormat="1" applyBorder="1"/>
    <xf numFmtId="165" fontId="0" fillId="0" borderId="37" xfId="0" applyNumberFormat="1" applyBorder="1"/>
    <xf numFmtId="164" fontId="0" fillId="2" borderId="38" xfId="0" applyNumberFormat="1" applyFill="1" applyBorder="1"/>
    <xf numFmtId="164" fontId="0" fillId="0" borderId="38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5" xfId="0" applyBorder="1"/>
    <xf numFmtId="0" fontId="0" fillId="0" borderId="31" xfId="0" applyBorder="1"/>
    <xf numFmtId="0" fontId="0" fillId="0" borderId="32" xfId="0" applyBorder="1"/>
    <xf numFmtId="165" fontId="9" fillId="2" borderId="13" xfId="0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0" xfId="0" applyFont="1" applyFill="1"/>
    <xf numFmtId="0" fontId="0" fillId="0" borderId="0" xfId="0" applyBorder="1" applyProtection="1"/>
    <xf numFmtId="0" fontId="0" fillId="0" borderId="0" xfId="0" applyBorder="1" applyProtection="1">
      <protection locked="0"/>
    </xf>
    <xf numFmtId="0" fontId="0" fillId="0" borderId="0" xfId="0" applyFill="1" applyBorder="1" applyProtection="1"/>
    <xf numFmtId="167" fontId="0" fillId="0" borderId="30" xfId="0" applyNumberFormat="1" applyBorder="1"/>
    <xf numFmtId="164" fontId="0" fillId="0" borderId="2" xfId="0" quotePrefix="1" applyNumberFormat="1" applyBorder="1" applyAlignment="1">
      <alignment horizontal="center" wrapText="1"/>
    </xf>
    <xf numFmtId="165" fontId="0" fillId="0" borderId="5" xfId="0" quotePrefix="1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/>
    <xf numFmtId="165" fontId="0" fillId="0" borderId="1" xfId="0" applyNumberFormat="1" applyBorder="1" applyAlignment="1">
      <alignment horizontal="center"/>
    </xf>
    <xf numFmtId="164" fontId="2" fillId="0" borderId="10" xfId="0" quotePrefix="1" applyNumberFormat="1" applyFont="1" applyFill="1" applyBorder="1" applyAlignment="1">
      <alignment horizontal="center"/>
    </xf>
    <xf numFmtId="164" fontId="2" fillId="0" borderId="11" xfId="0" quotePrefix="1" applyNumberFormat="1" applyFont="1" applyFill="1" applyBorder="1" applyAlignment="1">
      <alignment horizontal="center"/>
    </xf>
    <xf numFmtId="1" fontId="2" fillId="0" borderId="11" xfId="0" quotePrefix="1" applyNumberFormat="1" applyFont="1" applyFill="1" applyBorder="1" applyAlignment="1">
      <alignment horizontal="center"/>
    </xf>
    <xf numFmtId="167" fontId="2" fillId="0" borderId="11" xfId="0" quotePrefix="1" applyNumberFormat="1" applyFont="1" applyFill="1" applyBorder="1" applyAlignment="1">
      <alignment horizontal="center"/>
    </xf>
    <xf numFmtId="11" fontId="2" fillId="0" borderId="11" xfId="0" applyNumberFormat="1" applyFont="1" applyFill="1" applyBorder="1" applyAlignment="1">
      <alignment horizontal="center"/>
    </xf>
    <xf numFmtId="0" fontId="2" fillId="0" borderId="11" xfId="0" quotePrefix="1" applyNumberFormat="1" applyFont="1" applyFill="1" applyBorder="1" applyAlignment="1">
      <alignment horizontal="center"/>
    </xf>
    <xf numFmtId="165" fontId="2" fillId="0" borderId="11" xfId="0" quotePrefix="1" applyNumberFormat="1" applyFont="1" applyFill="1" applyBorder="1" applyAlignment="1">
      <alignment horizontal="center"/>
    </xf>
    <xf numFmtId="165" fontId="2" fillId="2" borderId="1" xfId="0" quotePrefix="1" applyNumberFormat="1" applyFont="1" applyFill="1" applyBorder="1"/>
    <xf numFmtId="0" fontId="0" fillId="4" borderId="0" xfId="0" applyFill="1"/>
    <xf numFmtId="0" fontId="0" fillId="0" borderId="40" xfId="0" applyBorder="1"/>
    <xf numFmtId="0" fontId="0" fillId="0" borderId="4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0" fillId="0" borderId="29" xfId="0" applyBorder="1"/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0" xfId="0" applyBorder="1"/>
    <xf numFmtId="164" fontId="0" fillId="0" borderId="19" xfId="0" applyNumberFormat="1" applyBorder="1"/>
    <xf numFmtId="164" fontId="0" fillId="0" borderId="21" xfId="0" applyNumberFormat="1" applyBorder="1"/>
    <xf numFmtId="165" fontId="0" fillId="0" borderId="43" xfId="0" applyNumberFormat="1" applyBorder="1"/>
    <xf numFmtId="164" fontId="0" fillId="0" borderId="44" xfId="0" applyNumberFormat="1" applyBorder="1"/>
    <xf numFmtId="165" fontId="0" fillId="0" borderId="14" xfId="0" applyNumberFormat="1" applyBorder="1"/>
    <xf numFmtId="164" fontId="0" fillId="0" borderId="18" xfId="0" applyNumberFormat="1" applyBorder="1"/>
    <xf numFmtId="165" fontId="0" fillId="0" borderId="12" xfId="0" applyNumberFormat="1" applyBorder="1"/>
    <xf numFmtId="0" fontId="0" fillId="0" borderId="6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left"/>
    </xf>
    <xf numFmtId="166" fontId="0" fillId="3" borderId="19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67" fontId="0" fillId="0" borderId="13" xfId="0" applyNumberFormat="1" applyBorder="1"/>
    <xf numFmtId="167" fontId="0" fillId="0" borderId="10" xfId="0" applyNumberFormat="1" applyBorder="1"/>
    <xf numFmtId="0" fontId="0" fillId="0" borderId="8" xfId="0" applyFill="1" applyBorder="1" applyAlignment="1">
      <alignment horizontal="center"/>
    </xf>
    <xf numFmtId="0" fontId="0" fillId="0" borderId="18" xfId="0" applyBorder="1"/>
    <xf numFmtId="166" fontId="0" fillId="3" borderId="20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44" xfId="0" applyBorder="1"/>
    <xf numFmtId="0" fontId="0" fillId="0" borderId="1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13" xfId="0" applyNumberFormat="1" applyFill="1" applyBorder="1" applyAlignment="1" applyProtection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3" xfId="0" applyNumberFormat="1" applyBorder="1"/>
    <xf numFmtId="166" fontId="0" fillId="0" borderId="10" xfId="0" applyNumberFormat="1" applyBorder="1"/>
    <xf numFmtId="0" fontId="11" fillId="0" borderId="7" xfId="0" applyFont="1" applyBorder="1" applyAlignment="1">
      <alignment horizontal="center" vertical="center"/>
    </xf>
    <xf numFmtId="165" fontId="0" fillId="0" borderId="10" xfId="0" quotePrefix="1" applyNumberFormat="1" applyBorder="1"/>
    <xf numFmtId="165" fontId="0" fillId="0" borderId="11" xfId="0" quotePrefix="1" applyNumberFormat="1" applyBorder="1"/>
    <xf numFmtId="165" fontId="0" fillId="0" borderId="12" xfId="0" quotePrefix="1" applyNumberFormat="1" applyBorder="1"/>
    <xf numFmtId="167" fontId="0" fillId="0" borderId="13" xfId="0" applyNumberFormat="1" applyBorder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/>
    <xf numFmtId="0" fontId="0" fillId="0" borderId="38" xfId="0" applyBorder="1"/>
    <xf numFmtId="0" fontId="0" fillId="0" borderId="25" xfId="0" applyBorder="1"/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2" fillId="0" borderId="18" xfId="0" quotePrefix="1" applyNumberFormat="1" applyFont="1" applyFill="1" applyBorder="1" applyAlignment="1">
      <alignment horizontal="center"/>
    </xf>
    <xf numFmtId="165" fontId="2" fillId="2" borderId="44" xfId="0" quotePrefix="1" applyNumberFormat="1" applyFont="1" applyFill="1" applyBorder="1"/>
    <xf numFmtId="165" fontId="0" fillId="5" borderId="10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11" fillId="0" borderId="21" xfId="0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1" fillId="0" borderId="44" xfId="0" applyFon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49" xfId="0" quotePrefix="1" applyNumberFormat="1" applyBorder="1" applyAlignment="1">
      <alignment horizontal="center"/>
    </xf>
    <xf numFmtId="165" fontId="0" fillId="0" borderId="25" xfId="0" quotePrefix="1" applyNumberFormat="1" applyBorder="1"/>
    <xf numFmtId="165" fontId="0" fillId="0" borderId="10" xfId="0" quotePrefix="1" applyNumberFormat="1" applyBorder="1" applyAlignment="1">
      <alignment wrapText="1"/>
    </xf>
    <xf numFmtId="165" fontId="0" fillId="0" borderId="11" xfId="0" quotePrefix="1" applyNumberFormat="1" applyBorder="1" applyAlignment="1">
      <alignment wrapText="1"/>
    </xf>
    <xf numFmtId="165" fontId="0" fillId="0" borderId="12" xfId="0" quotePrefix="1" applyNumberForma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8" fontId="7" fillId="0" borderId="1" xfId="0" applyNumberFormat="1" applyFont="1" applyFill="1" applyBorder="1"/>
    <xf numFmtId="168" fontId="0" fillId="0" borderId="0" xfId="0" applyNumberFormat="1"/>
    <xf numFmtId="168" fontId="0" fillId="5" borderId="10" xfId="0" applyNumberFormat="1" applyFill="1" applyBorder="1" applyAlignment="1">
      <alignment horizontal="center"/>
    </xf>
    <xf numFmtId="168" fontId="0" fillId="5" borderId="11" xfId="0" applyNumberFormat="1" applyFill="1" applyBorder="1" applyAlignment="1">
      <alignment horizontal="center"/>
    </xf>
    <xf numFmtId="168" fontId="0" fillId="5" borderId="12" xfId="0" applyNumberFormat="1" applyFill="1" applyBorder="1" applyAlignment="1">
      <alignment horizontal="center"/>
    </xf>
    <xf numFmtId="164" fontId="0" fillId="0" borderId="8" xfId="0" applyNumberFormat="1" applyBorder="1"/>
    <xf numFmtId="0" fontId="0" fillId="0" borderId="5" xfId="0" applyBorder="1" applyAlignment="1">
      <alignment horizontal="center"/>
    </xf>
    <xf numFmtId="167" fontId="0" fillId="2" borderId="56" xfId="0" applyNumberFormat="1" applyFill="1" applyBorder="1"/>
    <xf numFmtId="164" fontId="0" fillId="2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3" xfId="0" applyNumberFormat="1" applyBorder="1"/>
    <xf numFmtId="0" fontId="0" fillId="0" borderId="1" xfId="0" applyNumberFormat="1" applyBorder="1"/>
    <xf numFmtId="0" fontId="0" fillId="0" borderId="14" xfId="0" applyNumberFormat="1" applyBorder="1"/>
    <xf numFmtId="0" fontId="0" fillId="2" borderId="13" xfId="0" applyNumberFormat="1" applyFill="1" applyBorder="1"/>
    <xf numFmtId="0" fontId="0" fillId="2" borderId="1" xfId="0" applyNumberFormat="1" applyFill="1" applyBorder="1"/>
    <xf numFmtId="0" fontId="0" fillId="2" borderId="14" xfId="0" applyNumberFormat="1" applyFill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2" fillId="2" borderId="1" xfId="0" quotePrefix="1" applyNumberFormat="1" applyFont="1" applyFill="1" applyBorder="1"/>
    <xf numFmtId="0" fontId="0" fillId="2" borderId="0" xfId="0" applyNumberFormat="1" applyFill="1"/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14" fillId="0" borderId="0" xfId="0" applyFont="1" applyAlignment="1">
      <alignment horizontal="left" vertical="center" readingOrder="1"/>
    </xf>
    <xf numFmtId="0" fontId="0" fillId="0" borderId="0" xfId="0" applyFill="1" applyBorder="1"/>
    <xf numFmtId="168" fontId="0" fillId="0" borderId="0" xfId="0" applyNumberFormat="1" applyFill="1" applyBorder="1"/>
    <xf numFmtId="168" fontId="0" fillId="0" borderId="0" xfId="0" applyNumberForma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 readingOrder="1"/>
    </xf>
    <xf numFmtId="165" fontId="0" fillId="0" borderId="0" xfId="0" applyNumberFormat="1" applyFill="1" applyBorder="1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6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8" fillId="0" borderId="40" xfId="0" applyFont="1" applyBorder="1" applyAlignment="1">
      <alignment horizontal="center" wrapText="1"/>
    </xf>
    <xf numFmtId="0" fontId="0" fillId="0" borderId="53" xfId="0" applyBorder="1" applyAlignment="1">
      <alignment horizontal="center"/>
    </xf>
    <xf numFmtId="164" fontId="10" fillId="0" borderId="47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4" fontId="2" fillId="2" borderId="1" xfId="0" applyNumberFormat="1" applyFont="1" applyFill="1" applyBorder="1" applyAlignment="1"/>
    <xf numFmtId="0" fontId="0" fillId="0" borderId="1" xfId="0" applyBorder="1" applyAlignment="1"/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29" xfId="0" applyBorder="1" applyAlignment="1"/>
    <xf numFmtId="0" fontId="8" fillId="0" borderId="34" xfId="0" applyFont="1" applyBorder="1" applyAlignment="1"/>
    <xf numFmtId="0" fontId="8" fillId="0" borderId="42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165" fontId="8" fillId="0" borderId="47" xfId="0" applyNumberFormat="1" applyFont="1" applyBorder="1" applyAlignment="1">
      <alignment horizontal="center"/>
    </xf>
    <xf numFmtId="165" fontId="8" fillId="0" borderId="48" xfId="0" applyNumberFormat="1" applyFont="1" applyBorder="1" applyAlignment="1">
      <alignment horizontal="center"/>
    </xf>
    <xf numFmtId="165" fontId="8" fillId="0" borderId="39" xfId="0" applyNumberFormat="1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3" borderId="40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50" xfId="0" applyNumberFormat="1" applyFont="1" applyBorder="1" applyAlignment="1">
      <alignment horizontal="center"/>
    </xf>
    <xf numFmtId="0" fontId="8" fillId="0" borderId="51" xfId="0" applyNumberFormat="1" applyFont="1" applyBorder="1" applyAlignment="1">
      <alignment horizontal="center"/>
    </xf>
    <xf numFmtId="0" fontId="8" fillId="0" borderId="52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8" fillId="0" borderId="40" xfId="0" applyNumberFormat="1" applyFont="1" applyBorder="1" applyAlignment="1">
      <alignment horizontal="center"/>
    </xf>
    <xf numFmtId="0" fontId="0" fillId="0" borderId="46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right"/>
    </xf>
    <xf numFmtId="0" fontId="0" fillId="0" borderId="51" xfId="0" applyBorder="1" applyAlignment="1">
      <alignment horizontal="right"/>
    </xf>
    <xf numFmtId="0" fontId="1" fillId="0" borderId="40" xfId="0" applyFont="1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46" xfId="0" applyBorder="1" applyAlignment="1"/>
    <xf numFmtId="0" fontId="0" fillId="0" borderId="41" xfId="0" applyBorder="1" applyAlignment="1"/>
    <xf numFmtId="0" fontId="8" fillId="3" borderId="40" xfId="0" applyFont="1" applyFill="1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1" xfId="0" applyBorder="1" applyAlignment="1">
      <alignment horizontal="left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3" borderId="5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RC12 ODI sheet marked "A"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"A" 26.2mm'!$A$5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"A" 26.2mm'!$A$9:$A$21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F3-4AD6-9E9A-224B38D4F217}"/>
            </c:ext>
          </c:extLst>
        </c:ser>
        <c:ser>
          <c:idx val="1"/>
          <c:order val="1"/>
          <c:tx>
            <c:strRef>
              <c:f>'RC12 "A" 26.2mm'!$D$6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F3-4AD6-9E9A-224B38D4F217}"/>
            </c:ext>
          </c:extLst>
        </c:ser>
        <c:ser>
          <c:idx val="2"/>
          <c:order val="2"/>
          <c:tx>
            <c:strRef>
              <c:f>'RC12 "A" 26.2mm'!$F$6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5F3-4AD6-9E9A-224B38D4F217}"/>
            </c:ext>
          </c:extLst>
        </c:ser>
        <c:ser>
          <c:idx val="3"/>
          <c:order val="3"/>
          <c:tx>
            <c:strRef>
              <c:f>'RC12 "A" 26.2mm'!$T$56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"A" 26.2mm'!$T$60:$T$72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26.2mm'!$U$60:$U$72</c:f>
              <c:numCache>
                <c:formatCode>0.0000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5F3-4AD6-9E9A-224B38D4F217}"/>
            </c:ext>
          </c:extLst>
        </c:ser>
        <c:ser>
          <c:idx val="4"/>
          <c:order val="4"/>
          <c:tx>
            <c:strRef>
              <c:f>'RC12 "A" 26.2mm'!$H$56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"A" 26.2mm'!$I$60:$I$70</c:f>
              <c:numCache>
                <c:formatCode>0.00</c:formatCode>
                <c:ptCount val="11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26.2mm'!$L$60:$L$70</c:f>
              <c:numCache>
                <c:formatCode>0.00</c:formatCode>
                <c:ptCount val="11"/>
                <c:pt idx="0">
                  <c:v>33.56</c:v>
                </c:pt>
                <c:pt idx="1">
                  <c:v>34.31</c:v>
                </c:pt>
                <c:pt idx="2">
                  <c:v>33.9</c:v>
                </c:pt>
                <c:pt idx="3">
                  <c:v>33.450000000000003</c:v>
                </c:pt>
                <c:pt idx="4">
                  <c:v>32.1</c:v>
                </c:pt>
                <c:pt idx="5">
                  <c:v>28.29</c:v>
                </c:pt>
                <c:pt idx="6">
                  <c:v>24.83</c:v>
                </c:pt>
                <c:pt idx="7">
                  <c:v>20.149999999999999</c:v>
                </c:pt>
                <c:pt idx="8">
                  <c:v>14.28</c:v>
                </c:pt>
                <c:pt idx="9">
                  <c:v>9.86</c:v>
                </c:pt>
                <c:pt idx="10">
                  <c:v>0.14000000000000001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5F3-4AD6-9E9A-224B38D4F217}"/>
            </c:ext>
          </c:extLst>
        </c:ser>
        <c:ser>
          <c:idx val="5"/>
          <c:order val="5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5F3-4AD6-9E9A-224B38D4F217}"/>
            </c:ext>
          </c:extLst>
        </c:ser>
        <c:ser>
          <c:idx val="6"/>
          <c:order val="6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25F3-4AD6-9E9A-224B38D4F217}"/>
            </c:ext>
          </c:extLst>
        </c:ser>
        <c:ser>
          <c:idx val="7"/>
          <c:order val="7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25F3-4AD6-9E9A-224B38D4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4600"/>
        <c:axId val="408998720"/>
      </c:scatterChart>
      <c:valAx>
        <c:axId val="409004600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998720"/>
        <c:crosses val="autoZero"/>
        <c:crossBetween val="midCat"/>
        <c:majorUnit val="500"/>
      </c:valAx>
      <c:valAx>
        <c:axId val="408998720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4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RC12 ODI sheet marked "B"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"B" original 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"B" original 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mm'!$W$62:$W$70</c:f>
              <c:numCache>
                <c:formatCode>0.0</c:formatCode>
                <c:ptCount val="9"/>
                <c:pt idx="0">
                  <c:v>43.330378377279239</c:v>
                </c:pt>
                <c:pt idx="1">
                  <c:v>47.829624966755716</c:v>
                </c:pt>
                <c:pt idx="2">
                  <c:v>51.992551885418472</c:v>
                </c:pt>
                <c:pt idx="3">
                  <c:v>55.384443478933363</c:v>
                </c:pt>
                <c:pt idx="4">
                  <c:v>57.301978774655574</c:v>
                </c:pt>
                <c:pt idx="5">
                  <c:v>56.873798821070885</c:v>
                </c:pt>
                <c:pt idx="6">
                  <c:v>53.266347873823293</c:v>
                </c:pt>
                <c:pt idx="7">
                  <c:v>45.993238939077095</c:v>
                </c:pt>
                <c:pt idx="8">
                  <c:v>35.22722338329006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9E8-45E1-8B70-5679E3690B12}"/>
            </c:ext>
          </c:extLst>
        </c:ser>
        <c:ser>
          <c:idx val="1"/>
          <c:order val="1"/>
          <c:tx>
            <c:strRef>
              <c:f>'RC12 "B" original 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"B" original 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"B" original 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9E8-45E1-8B70-5679E3690B12}"/>
            </c:ext>
          </c:extLst>
        </c:ser>
        <c:ser>
          <c:idx val="2"/>
          <c:order val="2"/>
          <c:tx>
            <c:strRef>
              <c:f>'RC12 "B" original 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"B" original 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"B" original 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9E8-45E1-8B70-5679E3690B12}"/>
            </c:ext>
          </c:extLst>
        </c:ser>
        <c:ser>
          <c:idx val="3"/>
          <c:order val="3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9E8-45E1-8B70-5679E3690B12}"/>
            </c:ext>
          </c:extLst>
        </c:ser>
        <c:ser>
          <c:idx val="5"/>
          <c:order val="4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9E8-45E1-8B70-5679E3690B12}"/>
            </c:ext>
          </c:extLst>
        </c:ser>
        <c:ser>
          <c:idx val="4"/>
          <c:order val="5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9E8-45E1-8B70-5679E369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11656"/>
        <c:axId val="409010872"/>
      </c:scatterChart>
      <c:valAx>
        <c:axId val="409011656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0872"/>
        <c:crosses val="autoZero"/>
        <c:crossBetween val="midCat"/>
        <c:majorUnit val="500"/>
      </c:valAx>
      <c:valAx>
        <c:axId val="409010872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1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TDH - RC12 ODI sheet</a:t>
            </a:r>
            <a:r>
              <a:rPr lang="en-CA" sz="1600" baseline="0"/>
              <a:t>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"C" 25.6mm'!$A$5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"C" 25.6mm'!$A$9:$A$21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85-43E9-8DCC-885D904E20BE}"/>
            </c:ext>
          </c:extLst>
        </c:ser>
        <c:ser>
          <c:idx val="1"/>
          <c:order val="1"/>
          <c:tx>
            <c:strRef>
              <c:f>'RC12 "C" 25.6mm'!$D$6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F85-43E9-8DCC-885D904E20BE}"/>
            </c:ext>
          </c:extLst>
        </c:ser>
        <c:ser>
          <c:idx val="2"/>
          <c:order val="2"/>
          <c:tx>
            <c:strRef>
              <c:f>'RC12 "C" 25.6mm'!$F$6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F85-43E9-8DCC-885D904E20BE}"/>
            </c:ext>
          </c:extLst>
        </c:ser>
        <c:ser>
          <c:idx val="3"/>
          <c:order val="3"/>
          <c:tx>
            <c:strRef>
              <c:f>'RC12 "C" 25.6mm'!$T$56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"C" 25.6mm'!$T$60:$T$72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25.6mm'!$U$60:$U$72</c:f>
              <c:numCache>
                <c:formatCode>0.0000</c:formatCode>
                <c:ptCount val="13"/>
                <c:pt idx="0">
                  <c:v>34.197009999999999</c:v>
                </c:pt>
                <c:pt idx="1">
                  <c:v>34.792623674945624</c:v>
                </c:pt>
                <c:pt idx="2">
                  <c:v>34.410639725260005</c:v>
                </c:pt>
                <c:pt idx="3">
                  <c:v>33.668144460298578</c:v>
                </c:pt>
                <c:pt idx="4">
                  <c:v>32.477391210088129</c:v>
                </c:pt>
                <c:pt idx="5">
                  <c:v>30.777058731489007</c:v>
                </c:pt>
                <c:pt idx="6">
                  <c:v>28.526746389760003</c:v>
                </c:pt>
                <c:pt idx="7">
                  <c:v>25.712481670765371</c:v>
                </c:pt>
                <c:pt idx="8">
                  <c:v>22.352227693181874</c:v>
                </c:pt>
                <c:pt idx="9">
                  <c:v>18.501390720705793</c:v>
                </c:pt>
                <c:pt idx="10">
                  <c:v>14.258327674259998</c:v>
                </c:pt>
                <c:pt idx="11">
                  <c:v>10.678365370240002</c:v>
                </c:pt>
                <c:pt idx="12">
                  <c:v>7.0400868218199975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F85-43E9-8DCC-885D904E20BE}"/>
            </c:ext>
          </c:extLst>
        </c:ser>
        <c:ser>
          <c:idx val="4"/>
          <c:order val="4"/>
          <c:tx>
            <c:strRef>
              <c:f>'RC12 "C" 25.6mm'!$H$56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"C" 25.6mm'!$I$60:$I$70</c:f>
              <c:numCache>
                <c:formatCode>0.00</c:formatCode>
                <c:ptCount val="11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</c:numCache>
            </c:numRef>
          </c:xVal>
          <c:yVal>
            <c:numRef>
              <c:f>'RC12 "C" 25.6mm'!$L$60:$L$70</c:f>
              <c:numCache>
                <c:formatCode>0.00</c:formatCode>
                <c:ptCount val="11"/>
                <c:pt idx="0">
                  <c:v>34.22</c:v>
                </c:pt>
                <c:pt idx="1">
                  <c:v>34.94</c:v>
                </c:pt>
                <c:pt idx="2">
                  <c:v>34.159999999999997</c:v>
                </c:pt>
                <c:pt idx="3">
                  <c:v>33.380000000000003</c:v>
                </c:pt>
                <c:pt idx="4">
                  <c:v>32.33</c:v>
                </c:pt>
                <c:pt idx="5">
                  <c:v>30.27</c:v>
                </c:pt>
                <c:pt idx="6">
                  <c:v>26.76</c:v>
                </c:pt>
                <c:pt idx="7">
                  <c:v>23.54</c:v>
                </c:pt>
                <c:pt idx="8">
                  <c:v>19.420000000000002</c:v>
                </c:pt>
                <c:pt idx="9">
                  <c:v>13.68</c:v>
                </c:pt>
                <c:pt idx="10">
                  <c:v>8.9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F85-43E9-8DCC-885D904E20BE}"/>
            </c:ext>
          </c:extLst>
        </c:ser>
        <c:ser>
          <c:idx val="5"/>
          <c:order val="5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F85-43E9-8DCC-885D904E20BE}"/>
            </c:ext>
          </c:extLst>
        </c:ser>
        <c:ser>
          <c:idx val="6"/>
          <c:order val="6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F85-43E9-8DCC-885D904E20BE}"/>
            </c:ext>
          </c:extLst>
        </c:ser>
        <c:ser>
          <c:idx val="7"/>
          <c:order val="7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F85-43E9-8DCC-885D904E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12440"/>
        <c:axId val="409012832"/>
      </c:scatterChart>
      <c:valAx>
        <c:axId val="409012440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2832"/>
        <c:crosses val="autoZero"/>
        <c:crossBetween val="midCat"/>
        <c:majorUnit val="500"/>
      </c:valAx>
      <c:valAx>
        <c:axId val="409012832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2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BRAKE POWER - RC12 ODI </a:t>
            </a:r>
            <a:r>
              <a:rPr lang="en-CA" sz="1600" b="1" i="0" u="none" strike="noStrike" baseline="0">
                <a:effectLst/>
              </a:rPr>
              <a:t>sheet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"C" 25.6mm'!$A$5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"C" 25.6mm'!$A$9:$A$21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99-4E10-B6E0-B8C5A5F29DB9}"/>
            </c:ext>
          </c:extLst>
        </c:ser>
        <c:ser>
          <c:idx val="0"/>
          <c:order val="1"/>
          <c:tx>
            <c:strRef>
              <c:f>'RC12 "C" 25.6mm'!$H$7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99-4E10-B6E0-B8C5A5F29DB9}"/>
            </c:ext>
          </c:extLst>
        </c:ser>
        <c:ser>
          <c:idx val="2"/>
          <c:order val="2"/>
          <c:tx>
            <c:strRef>
              <c:f>'RC12 "C" 25.6mm'!$I$7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99-4E10-B6E0-B8C5A5F29DB9}"/>
            </c:ext>
          </c:extLst>
        </c:ser>
        <c:ser>
          <c:idx val="3"/>
          <c:order val="3"/>
          <c:tx>
            <c:strRef>
              <c:f>'RC12 "C" 25.6mm'!$T$56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"C" 25.6mm'!$T$60:$T$72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25.6mm'!$V$60:$V$72</c:f>
              <c:numCache>
                <c:formatCode>0.0000</c:formatCode>
                <c:ptCount val="13"/>
                <c:pt idx="0">
                  <c:v>0.24524750000000001</c:v>
                </c:pt>
                <c:pt idx="1">
                  <c:v>0.28866802936928432</c:v>
                </c:pt>
                <c:pt idx="2">
                  <c:v>0.36714418788710002</c:v>
                </c:pt>
                <c:pt idx="3">
                  <c:v>0.39024612351545207</c:v>
                </c:pt>
                <c:pt idx="4">
                  <c:v>0.40863031870452182</c:v>
                </c:pt>
                <c:pt idx="5">
                  <c:v>0.42213672079158976</c:v>
                </c:pt>
                <c:pt idx="6">
                  <c:v>0.43126485416960003</c:v>
                </c:pt>
                <c:pt idx="7">
                  <c:v>0.43706631734526641</c:v>
                </c:pt>
                <c:pt idx="8">
                  <c:v>0.44103727999717834</c:v>
                </c:pt>
                <c:pt idx="9">
                  <c:v>0.44501098003390405</c:v>
                </c:pt>
                <c:pt idx="10">
                  <c:v>0.45105022065209949</c:v>
                </c:pt>
                <c:pt idx="11">
                  <c:v>0.45883567591039998</c:v>
                </c:pt>
                <c:pt idx="12">
                  <c:v>0.47047142541469944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99-4E10-B6E0-B8C5A5F29DB9}"/>
            </c:ext>
          </c:extLst>
        </c:ser>
        <c:ser>
          <c:idx val="4"/>
          <c:order val="4"/>
          <c:tx>
            <c:strRef>
              <c:f>'RC12 "C" 25.6mm'!$H$56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"C" 25.6mm'!$H$60:$H$70</c:f>
              <c:numCache>
                <c:formatCode>0.00</c:formatCode>
                <c:ptCount val="11"/>
                <c:pt idx="0">
                  <c:v>27.3</c:v>
                </c:pt>
                <c:pt idx="1">
                  <c:v>374.3</c:v>
                </c:pt>
                <c:pt idx="2">
                  <c:v>686.30000000000007</c:v>
                </c:pt>
                <c:pt idx="3">
                  <c:v>857.5</c:v>
                </c:pt>
                <c:pt idx="4">
                  <c:v>992.6</c:v>
                </c:pt>
                <c:pt idx="5">
                  <c:v>1117.3999999999999</c:v>
                </c:pt>
                <c:pt idx="6">
                  <c:v>1266</c:v>
                </c:pt>
                <c:pt idx="7">
                  <c:v>1399.6999999999998</c:v>
                </c:pt>
                <c:pt idx="8">
                  <c:v>1557.3</c:v>
                </c:pt>
                <c:pt idx="9">
                  <c:v>1713</c:v>
                </c:pt>
                <c:pt idx="10">
                  <c:v>1849.8</c:v>
                </c:pt>
              </c:numCache>
            </c:numRef>
          </c:xVal>
          <c:yVal>
            <c:numRef>
              <c:f>'RC12 "C" 25.6mm'!$N$60:$N$70</c:f>
              <c:numCache>
                <c:formatCode>0.000</c:formatCode>
                <c:ptCount val="11"/>
                <c:pt idx="0">
                  <c:v>0.24399999999999999</c:v>
                </c:pt>
                <c:pt idx="1">
                  <c:v>0.29899999999999999</c:v>
                </c:pt>
                <c:pt idx="2">
                  <c:v>0.35499999999999998</c:v>
                </c:pt>
                <c:pt idx="3">
                  <c:v>0.39400000000000002</c:v>
                </c:pt>
                <c:pt idx="4">
                  <c:v>0.41799999999999998</c:v>
                </c:pt>
                <c:pt idx="5">
                  <c:v>0.436</c:v>
                </c:pt>
                <c:pt idx="6">
                  <c:v>0.436</c:v>
                </c:pt>
                <c:pt idx="7">
                  <c:v>0.432</c:v>
                </c:pt>
                <c:pt idx="8">
                  <c:v>0.442</c:v>
                </c:pt>
                <c:pt idx="9">
                  <c:v>0.45200000000000001</c:v>
                </c:pt>
                <c:pt idx="10">
                  <c:v>0.47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99-4E10-B6E0-B8C5A5F29DB9}"/>
            </c:ext>
          </c:extLst>
        </c:ser>
        <c:ser>
          <c:idx val="5"/>
          <c:order val="5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A99-4E10-B6E0-B8C5A5F29DB9}"/>
            </c:ext>
          </c:extLst>
        </c:ser>
        <c:ser>
          <c:idx val="6"/>
          <c:order val="6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A99-4E10-B6E0-B8C5A5F29DB9}"/>
            </c:ext>
          </c:extLst>
        </c:ser>
        <c:ser>
          <c:idx val="7"/>
          <c:order val="7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A99-4E10-B6E0-B8C5A5F2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8384"/>
        <c:axId val="413157600"/>
      </c:scatterChart>
      <c:valAx>
        <c:axId val="41315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7600"/>
        <c:crosses val="autoZero"/>
        <c:crossBetween val="midCat"/>
        <c:majorUnit val="500"/>
      </c:valAx>
      <c:valAx>
        <c:axId val="413157600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8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"C" 25.6mm'!$I$60:$I$72</c:f>
              <c:numCache>
                <c:formatCode>0.00</c:formatCode>
                <c:ptCount val="13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  <c:pt idx="11">
                  <c:v>2102.77</c:v>
                </c:pt>
              </c:numCache>
            </c:numRef>
          </c:xVal>
          <c:yVal>
            <c:numRef>
              <c:f>'RC12 "C" 25.6mm'!$L$60:$L$72</c:f>
              <c:numCache>
                <c:formatCode>0.00</c:formatCode>
                <c:ptCount val="13"/>
                <c:pt idx="0">
                  <c:v>34.22</c:v>
                </c:pt>
                <c:pt idx="1">
                  <c:v>34.94</c:v>
                </c:pt>
                <c:pt idx="2">
                  <c:v>34.159999999999997</c:v>
                </c:pt>
                <c:pt idx="3">
                  <c:v>33.380000000000003</c:v>
                </c:pt>
                <c:pt idx="4">
                  <c:v>32.33</c:v>
                </c:pt>
                <c:pt idx="5">
                  <c:v>30.27</c:v>
                </c:pt>
                <c:pt idx="6">
                  <c:v>26.76</c:v>
                </c:pt>
                <c:pt idx="7">
                  <c:v>23.54</c:v>
                </c:pt>
                <c:pt idx="8">
                  <c:v>19.420000000000002</c:v>
                </c:pt>
                <c:pt idx="9">
                  <c:v>13.68</c:v>
                </c:pt>
                <c:pt idx="10">
                  <c:v>8.9</c:v>
                </c:pt>
                <c:pt idx="11">
                  <c:v>1.4E-2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64C-416D-BC88-1F352198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5048"/>
        <c:axId val="413163872"/>
      </c:scatterChart>
      <c:valAx>
        <c:axId val="41316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3872"/>
        <c:crosses val="autoZero"/>
        <c:crossBetween val="midCat"/>
      </c:valAx>
      <c:valAx>
        <c:axId val="41316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5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"C" 25.6mm'!$I$60:$I$72</c:f>
              <c:numCache>
                <c:formatCode>0.00</c:formatCode>
                <c:ptCount val="13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  <c:pt idx="11">
                  <c:v>2102.77</c:v>
                </c:pt>
              </c:numCache>
            </c:numRef>
          </c:xVal>
          <c:yVal>
            <c:numRef>
              <c:f>'RC12 "C" 25.6mm'!$O$60:$O$72</c:f>
              <c:numCache>
                <c:formatCode>0.000</c:formatCode>
                <c:ptCount val="13"/>
                <c:pt idx="0">
                  <c:v>0.24399999999999999</c:v>
                </c:pt>
                <c:pt idx="1">
                  <c:v>0.29899999999999999</c:v>
                </c:pt>
                <c:pt idx="2">
                  <c:v>0.35499999999999998</c:v>
                </c:pt>
                <c:pt idx="3">
                  <c:v>0.39300000000000002</c:v>
                </c:pt>
                <c:pt idx="4">
                  <c:v>0.41799999999999998</c:v>
                </c:pt>
                <c:pt idx="5">
                  <c:v>0.436</c:v>
                </c:pt>
                <c:pt idx="6">
                  <c:v>0.436</c:v>
                </c:pt>
                <c:pt idx="7">
                  <c:v>0.43099999999999999</c:v>
                </c:pt>
                <c:pt idx="8">
                  <c:v>0.441</c:v>
                </c:pt>
                <c:pt idx="9">
                  <c:v>0.45200000000000001</c:v>
                </c:pt>
                <c:pt idx="10">
                  <c:v>0.46899999999999997</c:v>
                </c:pt>
                <c:pt idx="11">
                  <c:v>0.50900000000000001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10-407B-B23A-C1BF865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4072"/>
        <c:axId val="413164264"/>
      </c:scatterChart>
      <c:valAx>
        <c:axId val="41315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4264"/>
        <c:crosses val="autoZero"/>
        <c:crossBetween val="midCat"/>
      </c:valAx>
      <c:valAx>
        <c:axId val="41316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4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EFFICIENCY - RC12 ODI </a:t>
            </a:r>
            <a:r>
              <a:rPr lang="en-CA" sz="1600" b="1" i="0" u="none" strike="noStrike" baseline="0">
                <a:effectLst/>
              </a:rPr>
              <a:t>sheet marked "C"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 b="1" i="0" u="none" strike="noStrike" baseline="0">
                <a:effectLst/>
              </a:rPr>
              <a:t>3500rpm, SG=1</a:t>
            </a:r>
            <a:endParaRPr lang="en-CA" sz="1600"/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"C" 25.6mm'!$T$56:$W$56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"C" 25.6mm'!$T$62:$T$70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25.6mm'!$W$62:$W$70</c:f>
              <c:numCache>
                <c:formatCode>0.0</c:formatCode>
                <c:ptCount val="9"/>
                <c:pt idx="0">
                  <c:v>48.316196346253669</c:v>
                </c:pt>
                <c:pt idx="1">
                  <c:v>52.41711826406673</c:v>
                </c:pt>
                <c:pt idx="2">
                  <c:v>55.604861569003297</c:v>
                </c:pt>
                <c:pt idx="3">
                  <c:v>57.719299759470587</c:v>
                </c:pt>
                <c:pt idx="4">
                  <c:v>58.455856554866585</c:v>
                </c:pt>
                <c:pt idx="5">
                  <c:v>57.405187915034709</c:v>
                </c:pt>
                <c:pt idx="6">
                  <c:v>54.119293969891842</c:v>
                </c:pt>
                <c:pt idx="7">
                  <c:v>48.222843413423192</c:v>
                </c:pt>
                <c:pt idx="8">
                  <c:v>39.575938381996416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C7-4168-A836-93C46C7E4B20}"/>
            </c:ext>
          </c:extLst>
        </c:ser>
        <c:ser>
          <c:idx val="1"/>
          <c:order val="1"/>
          <c:tx>
            <c:strRef>
              <c:f>'RC12 "C" 25.6mm'!$X$57:$AB$57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"C" 25.6mm'!$T$66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"C" 25.6mm'!$AB$66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C7-4168-A836-93C46C7E4B20}"/>
            </c:ext>
          </c:extLst>
        </c:ser>
        <c:ser>
          <c:idx val="2"/>
          <c:order val="2"/>
          <c:tx>
            <c:strRef>
              <c:f>'RC12 "C" 25.6mm'!$Q$56:$S$56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"C" 25.6mm'!$T$66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"C" 25.6mm'!$I$3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C7-4168-A836-93C46C7E4B20}"/>
            </c:ext>
          </c:extLst>
        </c:ser>
        <c:ser>
          <c:idx val="3"/>
          <c:order val="3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9C7-4168-A836-93C46C7E4B20}"/>
            </c:ext>
          </c:extLst>
        </c:ser>
        <c:ser>
          <c:idx val="5"/>
          <c:order val="4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9C7-4168-A836-93C46C7E4B20}"/>
            </c:ext>
          </c:extLst>
        </c:ser>
        <c:ser>
          <c:idx val="4"/>
          <c:order val="5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9C7-4168-A836-93C46C7E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3480"/>
        <c:axId val="413162304"/>
      </c:scatterChart>
      <c:valAx>
        <c:axId val="413163480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2304"/>
        <c:crosses val="autoZero"/>
        <c:crossBetween val="midCat"/>
        <c:majorUnit val="500"/>
      </c:valAx>
      <c:valAx>
        <c:axId val="413162304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3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TDH - RC12 ODI sheet</a:t>
            </a:r>
            <a:r>
              <a:rPr lang="en-CA" sz="1600" baseline="0"/>
              <a:t>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final July 26 2017'!$A$5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02-4317-9597-93C5DE52C29D}"/>
            </c:ext>
          </c:extLst>
        </c:ser>
        <c:ser>
          <c:idx val="1"/>
          <c:order val="1"/>
          <c:tx>
            <c:strRef>
              <c:f>'RC12 final July 26 2017'!$D$6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02-4317-9597-93C5DE52C29D}"/>
            </c:ext>
          </c:extLst>
        </c:ser>
        <c:ser>
          <c:idx val="2"/>
          <c:order val="2"/>
          <c:tx>
            <c:strRef>
              <c:f>'RC12 final July 26 2017'!$F$6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A02-4317-9597-93C5DE52C29D}"/>
            </c:ext>
          </c:extLst>
        </c:ser>
        <c:ser>
          <c:idx val="3"/>
          <c:order val="3"/>
          <c:tx>
            <c:strRef>
              <c:f>'RC12 final July 26 2017'!$T$56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2017'!$U$60:$U$72</c:f>
              <c:numCache>
                <c:formatCode>0.0000</c:formatCode>
                <c:ptCount val="13"/>
                <c:pt idx="0">
                  <c:v>36.152349999999998</c:v>
                </c:pt>
                <c:pt idx="1">
                  <c:v>36.251157285084368</c:v>
                </c:pt>
                <c:pt idx="2">
                  <c:v>35.861532179700006</c:v>
                </c:pt>
                <c:pt idx="3">
                  <c:v>35.061253102143844</c:v>
                </c:pt>
                <c:pt idx="4">
                  <c:v>33.814827840871864</c:v>
                </c:pt>
                <c:pt idx="5">
                  <c:v>32.098017238535441</c:v>
                </c:pt>
                <c:pt idx="6">
                  <c:v>29.903932787200006</c:v>
                </c:pt>
                <c:pt idx="7">
                  <c:v>27.236967817309861</c:v>
                </c:pt>
                <c:pt idx="8">
                  <c:v>24.106728686653131</c:v>
                </c:pt>
                <c:pt idx="9">
                  <c:v>20.521965969326455</c:v>
                </c:pt>
                <c:pt idx="10">
                  <c:v>16.4845056447</c:v>
                </c:pt>
                <c:pt idx="11">
                  <c:v>12.921682148800013</c:v>
                </c:pt>
                <c:pt idx="12">
                  <c:v>9.0481290848999905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A02-4317-9597-93C5DE52C29D}"/>
            </c:ext>
          </c:extLst>
        </c:ser>
        <c:ser>
          <c:idx val="4"/>
          <c:order val="4"/>
          <c:tx>
            <c:strRef>
              <c:f>'RC12 final July 26 2017'!$H$56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final July 26 2017'!$I$60:$I$67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2017'!$L$60:$L$67</c:f>
              <c:numCache>
                <c:formatCode>0.00</c:formatCode>
                <c:ptCount val="8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A02-4317-9597-93C5DE52C29D}"/>
            </c:ext>
          </c:extLst>
        </c:ser>
        <c:ser>
          <c:idx val="5"/>
          <c:order val="5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A02-4317-9597-93C5DE52C29D}"/>
            </c:ext>
          </c:extLst>
        </c:ser>
        <c:ser>
          <c:idx val="6"/>
          <c:order val="6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A02-4317-9597-93C5DE52C29D}"/>
            </c:ext>
          </c:extLst>
        </c:ser>
        <c:ser>
          <c:idx val="7"/>
          <c:order val="7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A02-4317-9597-93C5DE52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2696"/>
        <c:axId val="413157992"/>
      </c:scatterChart>
      <c:valAx>
        <c:axId val="413162696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7992"/>
        <c:crosses val="autoZero"/>
        <c:crossBetween val="midCat"/>
        <c:majorUnit val="500"/>
      </c:valAx>
      <c:valAx>
        <c:axId val="413157992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2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BRAKE POWER - RC12 ODI </a:t>
            </a:r>
            <a:r>
              <a:rPr lang="en-CA" sz="1600" b="1" i="0" u="none" strike="noStrike" baseline="0">
                <a:effectLst/>
              </a:rPr>
              <a:t>sheet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final July 26 2017'!$A$5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60-4D75-B40C-CC9B3A170D28}"/>
            </c:ext>
          </c:extLst>
        </c:ser>
        <c:ser>
          <c:idx val="0"/>
          <c:order val="1"/>
          <c:tx>
            <c:strRef>
              <c:f>'RC12 final July 26 2017'!$H$7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560-4D75-B40C-CC9B3A170D28}"/>
            </c:ext>
          </c:extLst>
        </c:ser>
        <c:ser>
          <c:idx val="2"/>
          <c:order val="2"/>
          <c:tx>
            <c:strRef>
              <c:f>'RC12 final July 26 2017'!$I$7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560-4D75-B40C-CC9B3A170D28}"/>
            </c:ext>
          </c:extLst>
        </c:ser>
        <c:ser>
          <c:idx val="3"/>
          <c:order val="3"/>
          <c:tx>
            <c:strRef>
              <c:f>'RC12 final July 26 2017'!$T$56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2017'!$V$60:$V$72</c:f>
              <c:numCache>
                <c:formatCode>0.0000</c:formatCode>
                <c:ptCount val="13"/>
                <c:pt idx="0">
                  <c:v>0.2451998</c:v>
                </c:pt>
                <c:pt idx="1">
                  <c:v>0.2962067484775156</c:v>
                </c:pt>
                <c:pt idx="2">
                  <c:v>0.37116667237049994</c:v>
                </c:pt>
                <c:pt idx="3">
                  <c:v>0.39244381137331985</c:v>
                </c:pt>
                <c:pt idx="4">
                  <c:v>0.40942515561307796</c:v>
                </c:pt>
                <c:pt idx="5">
                  <c:v>0.42230484685796316</c:v>
                </c:pt>
                <c:pt idx="6">
                  <c:v>0.43184078700799983</c:v>
                </c:pt>
                <c:pt idx="7">
                  <c:v>0.43922571408381783</c:v>
                </c:pt>
                <c:pt idx="8">
                  <c:v>0.44595827821542172</c:v>
                </c:pt>
                <c:pt idx="9">
                  <c:v>0.45371411763096114</c:v>
                </c:pt>
                <c:pt idx="10">
                  <c:v>0.46421693464549935</c:v>
                </c:pt>
                <c:pt idx="11">
                  <c:v>0.47570701131199955</c:v>
                </c:pt>
                <c:pt idx="12">
                  <c:v>0.490761008308499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560-4D75-B40C-CC9B3A170D28}"/>
            </c:ext>
          </c:extLst>
        </c:ser>
        <c:ser>
          <c:idx val="4"/>
          <c:order val="4"/>
          <c:tx>
            <c:strRef>
              <c:f>'RC12 final July 26 2017'!$H$56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final July 26 2017'!$I$60:$I$67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2017'!$O$60:$O$67</c:f>
              <c:numCache>
                <c:formatCode>0.000</c:formatCode>
                <c:ptCount val="8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560-4D75-B40C-CC9B3A170D28}"/>
            </c:ext>
          </c:extLst>
        </c:ser>
        <c:ser>
          <c:idx val="5"/>
          <c:order val="5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560-4D75-B40C-CC9B3A170D28}"/>
            </c:ext>
          </c:extLst>
        </c:ser>
        <c:ser>
          <c:idx val="6"/>
          <c:order val="6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560-4D75-B40C-CC9B3A170D28}"/>
            </c:ext>
          </c:extLst>
        </c:ser>
        <c:ser>
          <c:idx val="7"/>
          <c:order val="7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560-4D75-B40C-CC9B3A17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5248"/>
        <c:axId val="413164656"/>
      </c:scatterChart>
      <c:valAx>
        <c:axId val="4131552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4656"/>
        <c:crosses val="autoZero"/>
        <c:crossBetween val="midCat"/>
        <c:majorUnit val="500"/>
      </c:valAx>
      <c:valAx>
        <c:axId val="413164656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5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final July 26 2017'!$I$60:$I$72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2017'!$L$60:$L$72</c:f>
              <c:numCache>
                <c:formatCode>0.00</c:formatCode>
                <c:ptCount val="13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0FB-4004-B6C0-99BF9AA7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1912"/>
        <c:axId val="413165440"/>
      </c:scatterChart>
      <c:valAx>
        <c:axId val="41316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5440"/>
        <c:crosses val="autoZero"/>
        <c:crossBetween val="midCat"/>
      </c:valAx>
      <c:valAx>
        <c:axId val="41316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61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final July 26 2017'!$I$60:$I$72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2017'!$O$60:$O$72</c:f>
              <c:numCache>
                <c:formatCode>0.000</c:formatCode>
                <c:ptCount val="13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06-4A96-B7E5-74852762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9560"/>
        <c:axId val="413153288"/>
      </c:scatterChart>
      <c:valAx>
        <c:axId val="41315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3288"/>
        <c:crosses val="autoZero"/>
        <c:crossBetween val="midCat"/>
      </c:valAx>
      <c:valAx>
        <c:axId val="41315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9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RC12 ODI sheet marked "A"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"A" 26.2mm'!$A$5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"A" 26.2mm'!$A$9:$A$21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2D-45D3-8A2D-CAD49A9465EA}"/>
            </c:ext>
          </c:extLst>
        </c:ser>
        <c:ser>
          <c:idx val="0"/>
          <c:order val="1"/>
          <c:tx>
            <c:strRef>
              <c:f>'RC12 "A" 26.2mm'!$H$7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2D-45D3-8A2D-CAD49A9465EA}"/>
            </c:ext>
          </c:extLst>
        </c:ser>
        <c:ser>
          <c:idx val="2"/>
          <c:order val="2"/>
          <c:tx>
            <c:strRef>
              <c:f>'RC12 "A" 26.2mm'!$I$7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2D-45D3-8A2D-CAD49A9465EA}"/>
            </c:ext>
          </c:extLst>
        </c:ser>
        <c:ser>
          <c:idx val="3"/>
          <c:order val="3"/>
          <c:tx>
            <c:strRef>
              <c:f>'RC12 "A" 26.2mm'!$T$56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"A" 26.2mm'!$T$60:$T$72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26.2mm'!$V$60:$V$72</c:f>
              <c:numCache>
                <c:formatCode>0.0000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22D-45D3-8A2D-CAD49A9465EA}"/>
            </c:ext>
          </c:extLst>
        </c:ser>
        <c:ser>
          <c:idx val="4"/>
          <c:order val="4"/>
          <c:tx>
            <c:strRef>
              <c:f>'RC12 "A" 26.2mm'!$H$56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"A" 26.2mm'!$H$60:$H$70</c:f>
              <c:numCache>
                <c:formatCode>0.00</c:formatCode>
                <c:ptCount val="11"/>
                <c:pt idx="0">
                  <c:v>39.700000000000003</c:v>
                </c:pt>
                <c:pt idx="1">
                  <c:v>393</c:v>
                </c:pt>
                <c:pt idx="2">
                  <c:v>768</c:v>
                </c:pt>
                <c:pt idx="3">
                  <c:v>917.2</c:v>
                </c:pt>
                <c:pt idx="4">
                  <c:v>1072.1999999999998</c:v>
                </c:pt>
                <c:pt idx="5">
                  <c:v>1234.0999999999999</c:v>
                </c:pt>
                <c:pt idx="6">
                  <c:v>1364.8999999999999</c:v>
                </c:pt>
                <c:pt idx="7">
                  <c:v>1500.5</c:v>
                </c:pt>
                <c:pt idx="8">
                  <c:v>1649.3999999999999</c:v>
                </c:pt>
                <c:pt idx="9">
                  <c:v>1768.8</c:v>
                </c:pt>
                <c:pt idx="10">
                  <c:v>2010.5</c:v>
                </c:pt>
              </c:numCache>
            </c:numRef>
          </c:xVal>
          <c:yVal>
            <c:numRef>
              <c:f>'RC12 "A" 26.2mm'!$N$60:$N$70</c:f>
              <c:numCache>
                <c:formatCode>0.000</c:formatCode>
                <c:ptCount val="11"/>
                <c:pt idx="0">
                  <c:v>0.25900000000000001</c:v>
                </c:pt>
                <c:pt idx="1">
                  <c:v>0.313</c:v>
                </c:pt>
                <c:pt idx="2">
                  <c:v>0.38500000000000001</c:v>
                </c:pt>
                <c:pt idx="3">
                  <c:v>0.41799999999999998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0.45200000000000001</c:v>
                </c:pt>
                <c:pt idx="9">
                  <c:v>0.47099999999999997</c:v>
                </c:pt>
                <c:pt idx="10">
                  <c:v>0.502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22D-45D3-8A2D-CAD49A9465EA}"/>
            </c:ext>
          </c:extLst>
        </c:ser>
        <c:ser>
          <c:idx val="5"/>
          <c:order val="5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22D-45D3-8A2D-CAD49A9465EA}"/>
            </c:ext>
          </c:extLst>
        </c:ser>
        <c:ser>
          <c:idx val="6"/>
          <c:order val="6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22D-45D3-8A2D-CAD49A9465EA}"/>
            </c:ext>
          </c:extLst>
        </c:ser>
        <c:ser>
          <c:idx val="7"/>
          <c:order val="7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22D-45D3-8A2D-CAD49A94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8128"/>
        <c:axId val="409002640"/>
      </c:scatterChart>
      <c:valAx>
        <c:axId val="4090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2640"/>
        <c:crosses val="autoZero"/>
        <c:crossBetween val="midCat"/>
        <c:majorUnit val="500"/>
      </c:valAx>
      <c:valAx>
        <c:axId val="409002640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8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EFFICIENCY - RC12 ODI </a:t>
            </a:r>
            <a:r>
              <a:rPr lang="en-CA" sz="1600" b="1" i="0" u="none" strike="noStrike" baseline="0">
                <a:effectLst/>
              </a:rPr>
              <a:t>sheet marked "C"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 b="1" i="0" u="none" strike="noStrike" baseline="0">
                <a:effectLst/>
              </a:rPr>
              <a:t>3500rpm, SG=1</a:t>
            </a:r>
            <a:endParaRPr lang="en-CA" sz="1600"/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final July 26 2017'!$T$56:$W$56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2017'!$W$62:$W$70</c:f>
              <c:numCache>
                <c:formatCode>0.0</c:formatCode>
                <c:ptCount val="9"/>
                <c:pt idx="0">
                  <c:v>49.807703241300217</c:v>
                </c:pt>
                <c:pt idx="1">
                  <c:v>54.280333315092015</c:v>
                </c:pt>
                <c:pt idx="2">
                  <c:v>57.782306216995394</c:v>
                </c:pt>
                <c:pt idx="3">
                  <c:v>60.17266030318271</c:v>
                </c:pt>
                <c:pt idx="4">
                  <c:v>61.196206797099919</c:v>
                </c:pt>
                <c:pt idx="5">
                  <c:v>60.509767838283224</c:v>
                </c:pt>
                <c:pt idx="6">
                  <c:v>57.723234755340712</c:v>
                </c:pt>
                <c:pt idx="7">
                  <c:v>52.463328019308442</c:v>
                </c:pt>
                <c:pt idx="8">
                  <c:v>44.457238002647777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92-492E-9ADA-AEC5C995FAB1}"/>
            </c:ext>
          </c:extLst>
        </c:ser>
        <c:ser>
          <c:idx val="1"/>
          <c:order val="1"/>
          <c:tx>
            <c:strRef>
              <c:f>'RC12 final July 26 2017'!$X$57:$AB$57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final July 26 2017'!$T$66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final July 26 2017'!$AB$66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92-492E-9ADA-AEC5C995FAB1}"/>
            </c:ext>
          </c:extLst>
        </c:ser>
        <c:ser>
          <c:idx val="2"/>
          <c:order val="2"/>
          <c:tx>
            <c:strRef>
              <c:f>'RC12 final July 26 2017'!$Q$56:$S$56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final July 26 2017'!$T$66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final July 26 2017'!$I$3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92-492E-9ADA-AEC5C995FAB1}"/>
            </c:ext>
          </c:extLst>
        </c:ser>
        <c:ser>
          <c:idx val="3"/>
          <c:order val="3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192-492E-9ADA-AEC5C995FAB1}"/>
            </c:ext>
          </c:extLst>
        </c:ser>
        <c:ser>
          <c:idx val="5"/>
          <c:order val="4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192-492E-9ADA-AEC5C995FAB1}"/>
            </c:ext>
          </c:extLst>
        </c:ser>
        <c:ser>
          <c:idx val="4"/>
          <c:order val="5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192-492E-9ADA-AEC5C99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4856"/>
        <c:axId val="413156032"/>
      </c:scatterChart>
      <c:valAx>
        <c:axId val="413154856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6032"/>
        <c:crosses val="autoZero"/>
        <c:crossBetween val="midCat"/>
        <c:majorUnit val="500"/>
      </c:valAx>
      <c:valAx>
        <c:axId val="413156032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154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RC12 review PREMIER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CORRECTED TO 3500rpm and SG=1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021395894788502E-2"/>
          <c:y val="8.0989898989898987E-2"/>
          <c:w val="0.92969054142057173"/>
          <c:h val="0.73502346297621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compare!$G$21</c:f>
              <c:strCache>
                <c:ptCount val="1"/>
                <c:pt idx="0">
                  <c:v>catalog curve TDH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657B2C9B-3D17-41F7-9811-589FC93A705D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compare!$B$6:$B$18</c:f>
              <c:numCache>
                <c:formatCode>General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DE-409A-A7D5-A01920E30541}"/>
            </c:ext>
          </c:extLst>
        </c:ser>
        <c:ser>
          <c:idx val="2"/>
          <c:order val="2"/>
          <c:tx>
            <c:strRef>
              <c:f>compare!$G$23</c:f>
              <c:strCache>
                <c:ptCount val="1"/>
                <c:pt idx="0">
                  <c:v>catalog curve 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8A18F3DE-3505-411F-A1CB-7038D8F8CC5A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BDE-409A-A7D5-A01920E3054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compare!$D$6:$D$18</c:f>
              <c:numCache>
                <c:formatCode>General</c:formatCode>
                <c:ptCount val="13"/>
                <c:pt idx="6">
                  <c:v>63.643217992758629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DE-409A-A7D5-A01920E30541}"/>
            </c:ext>
          </c:extLst>
        </c:ser>
        <c:ser>
          <c:idx val="3"/>
          <c:order val="3"/>
          <c:tx>
            <c:strRef>
              <c:f>compare!$G$24</c:f>
              <c:strCache>
                <c:ptCount val="1"/>
                <c:pt idx="0">
                  <c:v>RC12 "A" 26.2mm TDH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A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6B33BB85-52B0-45C6-858D-AEBE5746835E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compare!$K$6:$K$18</c:f>
              <c:numCache>
                <c:formatCode>General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BDE-409A-A7D5-A01920E30541}"/>
            </c:ext>
          </c:extLst>
        </c:ser>
        <c:ser>
          <c:idx val="5"/>
          <c:order val="5"/>
          <c:tx>
            <c:strRef>
              <c:f>compare!$G$26</c:f>
              <c:strCache>
                <c:ptCount val="1"/>
                <c:pt idx="0">
                  <c:v>RC12 "A" 26.2mm EFF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F629F4-AF9E-443A-9361-E432F07E4E13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compare!$J$12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compare!$M$12</c:f>
              <c:numCache>
                <c:formatCode>General</c:formatCode>
                <c:ptCount val="1"/>
                <c:pt idx="0">
                  <c:v>59.238589736026597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BDE-409A-A7D5-A01920E30541}"/>
            </c:ext>
          </c:extLst>
        </c:ser>
        <c:ser>
          <c:idx val="6"/>
          <c:order val="6"/>
          <c:tx>
            <c:strRef>
              <c:f>compare!$I$21</c:f>
              <c:strCache>
                <c:ptCount val="1"/>
                <c:pt idx="0">
                  <c:v>RC12 "B" ORIGINAL LENGTH TDH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C66C4A-2F99-4D6A-91E5-195CCA8CF31B}" type="SERIESNAME">
                      <a:rPr lang="en-US">
                        <a:solidFill>
                          <a:srgbClr val="00B05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compare!$N$6:$N$18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compare!$O$6:$O$18</c:f>
              <c:numCache>
                <c:formatCode>General</c:formatCode>
                <c:ptCount val="13"/>
                <c:pt idx="0">
                  <c:v>33.794460000000001</c:v>
                </c:pt>
                <c:pt idx="1">
                  <c:v>34.354900929337191</c:v>
                </c:pt>
                <c:pt idx="2">
                  <c:v>34.51272253778999</c:v>
                </c:pt>
                <c:pt idx="3">
                  <c:v>34.119181002032434</c:v>
                </c:pt>
                <c:pt idx="4">
                  <c:v>33.233779162375939</c:v>
                </c:pt>
                <c:pt idx="5">
                  <c:v>31.698514184140343</c:v>
                </c:pt>
                <c:pt idx="6">
                  <c:v>29.388394487040003</c:v>
                </c:pt>
                <c:pt idx="7">
                  <c:v>26.234995520330287</c:v>
                </c:pt>
                <c:pt idx="8">
                  <c:v>22.250015537954063</c:v>
                </c:pt>
                <c:pt idx="9">
                  <c:v>17.548831373688209</c:v>
                </c:pt>
                <c:pt idx="10">
                  <c:v>12.37405421629002</c:v>
                </c:pt>
                <c:pt idx="11">
                  <c:v>8.1519431529600013</c:v>
                </c:pt>
                <c:pt idx="12">
                  <c:v>4.1558365950299958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BDE-409A-A7D5-A01920E30541}"/>
            </c:ext>
          </c:extLst>
        </c:ser>
        <c:ser>
          <c:idx val="8"/>
          <c:order val="8"/>
          <c:tx>
            <c:strRef>
              <c:f>compare!$I$23</c:f>
              <c:strCache>
                <c:ptCount val="1"/>
                <c:pt idx="0">
                  <c:v>RC12 "B" ORIGINAL LENGTH EFF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6D8B68-C60B-45CF-8E6B-768BFBEC9F0E}" type="SERIESNAME">
                      <a:rPr lang="en-US">
                        <a:solidFill>
                          <a:srgbClr val="00B05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compare!$Q$12</c:f>
              <c:numCache>
                <c:formatCode>General</c:formatCode>
                <c:ptCount val="1"/>
                <c:pt idx="0">
                  <c:v>57.301978774655574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3BDE-409A-A7D5-A01920E30541}"/>
            </c:ext>
          </c:extLst>
        </c:ser>
        <c:ser>
          <c:idx val="9"/>
          <c:order val="9"/>
          <c:tx>
            <c:strRef>
              <c:f>compare!$I$24</c:f>
              <c:strCache>
                <c:ptCount val="1"/>
                <c:pt idx="0">
                  <c:v>RC12 "C" 25.6mm TDH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BDE-409A-A7D5-A01920E30541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BDE-409A-A7D5-A01920E3054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DA21B3-FFB0-48FF-A7AB-CB3613CF9851}" type="SERIESNAME">
                      <a:rPr lang="en-US">
                        <a:solidFill>
                          <a:srgbClr val="7030A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compare!$R$6:$R$18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compare!$S$6:$S$18</c:f>
              <c:numCache>
                <c:formatCode>General</c:formatCode>
                <c:ptCount val="13"/>
                <c:pt idx="0">
                  <c:v>34.197009999999999</c:v>
                </c:pt>
                <c:pt idx="1">
                  <c:v>34.792623674945624</c:v>
                </c:pt>
                <c:pt idx="2">
                  <c:v>34.410639725260005</c:v>
                </c:pt>
                <c:pt idx="3">
                  <c:v>33.668144460298578</c:v>
                </c:pt>
                <c:pt idx="4">
                  <c:v>32.477391210088129</c:v>
                </c:pt>
                <c:pt idx="5">
                  <c:v>30.777058731489007</c:v>
                </c:pt>
                <c:pt idx="6">
                  <c:v>28.526746389760003</c:v>
                </c:pt>
                <c:pt idx="7">
                  <c:v>25.712481670765371</c:v>
                </c:pt>
                <c:pt idx="8">
                  <c:v>22.352227693181874</c:v>
                </c:pt>
                <c:pt idx="9">
                  <c:v>18.501390720705793</c:v>
                </c:pt>
                <c:pt idx="10">
                  <c:v>14.258327674259998</c:v>
                </c:pt>
                <c:pt idx="11">
                  <c:v>10.678365370240002</c:v>
                </c:pt>
                <c:pt idx="12">
                  <c:v>7.0400868218199975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3BDE-409A-A7D5-A01920E30541}"/>
            </c:ext>
          </c:extLst>
        </c:ser>
        <c:ser>
          <c:idx val="11"/>
          <c:order val="11"/>
          <c:tx>
            <c:strRef>
              <c:f>compare!$I$26</c:f>
              <c:strCache>
                <c:ptCount val="1"/>
                <c:pt idx="0">
                  <c:v>RC12 "C" 25.6mm 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2E196-92B9-4F93-AF72-F6A9EF447DB1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compare!$U$12</c:f>
              <c:numCache>
                <c:formatCode>General</c:formatCode>
                <c:ptCount val="1"/>
                <c:pt idx="0">
                  <c:v>58.455856554866585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3BDE-409A-A7D5-A01920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1128"/>
        <c:axId val="413160344"/>
      </c:scatterChart>
      <c:scatterChart>
        <c:scatterStyle val="smoothMarker"/>
        <c:varyColors val="0"/>
        <c:ser>
          <c:idx val="1"/>
          <c:order val="1"/>
          <c:tx>
            <c:strRef>
              <c:f>compare!$G$22</c:f>
              <c:strCache>
                <c:ptCount val="1"/>
                <c:pt idx="0">
                  <c:v>catalog curve POWER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7C5EB27C-A3B8-47C4-8727-6EE095DBC04F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compare!$C$6:$C$18</c:f>
              <c:numCache>
                <c:formatCode>General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BDE-409A-A7D5-A01920E30541}"/>
            </c:ext>
          </c:extLst>
        </c:ser>
        <c:ser>
          <c:idx val="4"/>
          <c:order val="4"/>
          <c:tx>
            <c:strRef>
              <c:f>compare!$G$25</c:f>
              <c:strCache>
                <c:ptCount val="1"/>
                <c:pt idx="0">
                  <c:v>RC12 "A" 26.2mm POWER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E376FFBA-E9C0-4C93-B36E-96602804AA16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compare!$L$6:$L$18</c:f>
              <c:numCache>
                <c:formatCode>General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BDE-409A-A7D5-A01920E30541}"/>
            </c:ext>
          </c:extLst>
        </c:ser>
        <c:ser>
          <c:idx val="7"/>
          <c:order val="7"/>
          <c:tx>
            <c:strRef>
              <c:f>compare!$I$22</c:f>
              <c:strCache>
                <c:ptCount val="1"/>
                <c:pt idx="0">
                  <c:v>RC12 "B" ORIGINAL LENGTH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D5F6C-A39B-471A-9266-8FC914D020C0}" type="SERIESNAME">
                      <a:rPr lang="en-US">
                        <a:solidFill>
                          <a:srgbClr val="00B05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3D8B-41AC-9EE8-133FA907ACB1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compare!$N$6:$N$18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compare!$P$6:$P$18</c:f>
              <c:numCache>
                <c:formatCode>General</c:formatCode>
                <c:ptCount val="13"/>
                <c:pt idx="0">
                  <c:v>0.28023160000000003</c:v>
                </c:pt>
                <c:pt idx="1">
                  <c:v>0.31168362091631252</c:v>
                </c:pt>
                <c:pt idx="2">
                  <c:v>0.41060419946200011</c:v>
                </c:pt>
                <c:pt idx="3">
                  <c:v>0.43340526125765438</c:v>
                </c:pt>
                <c:pt idx="4">
                  <c:v>0.44719898518856271</c:v>
                </c:pt>
                <c:pt idx="5">
                  <c:v>0.45310429850326006</c:v>
                </c:pt>
                <c:pt idx="6">
                  <c:v>0.45323777171200008</c:v>
                </c:pt>
                <c:pt idx="7">
                  <c:v>0.45011474871370893</c:v>
                </c:pt>
                <c:pt idx="8">
                  <c:v>0.44605047692293742</c:v>
                </c:pt>
                <c:pt idx="9">
                  <c:v>0.4425612373968153</c:v>
                </c:pt>
                <c:pt idx="10">
                  <c:v>0.43976547496200036</c:v>
                </c:pt>
                <c:pt idx="11">
                  <c:v>0.43684835900800234</c:v>
                </c:pt>
                <c:pt idx="12">
                  <c:v>0.4310927009740011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BDE-409A-A7D5-A01920E30541}"/>
            </c:ext>
          </c:extLst>
        </c:ser>
        <c:ser>
          <c:idx val="10"/>
          <c:order val="10"/>
          <c:tx>
            <c:strRef>
              <c:f>compare!$I$25</c:f>
              <c:strCache>
                <c:ptCount val="1"/>
                <c:pt idx="0">
                  <c:v>RC12 "C" 25.6mm POWER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3D8B-41AC-9EE8-133FA907ACB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942DD7B0-F097-42DC-980D-A56CCD2EE6B0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3D8B-41AC-9EE8-133FA907ACB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compare!$R$6:$R$18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compare!$T$6:$T$18</c:f>
              <c:numCache>
                <c:formatCode>General</c:formatCode>
                <c:ptCount val="13"/>
                <c:pt idx="0">
                  <c:v>0.24524750000000001</c:v>
                </c:pt>
                <c:pt idx="1">
                  <c:v>0.28866802936928432</c:v>
                </c:pt>
                <c:pt idx="2">
                  <c:v>0.36714418788710002</c:v>
                </c:pt>
                <c:pt idx="3">
                  <c:v>0.39024612351545207</c:v>
                </c:pt>
                <c:pt idx="4">
                  <c:v>0.40863031870452182</c:v>
                </c:pt>
                <c:pt idx="5">
                  <c:v>0.42213672079158976</c:v>
                </c:pt>
                <c:pt idx="6">
                  <c:v>0.43126485416960003</c:v>
                </c:pt>
                <c:pt idx="7">
                  <c:v>0.43706631734526641</c:v>
                </c:pt>
                <c:pt idx="8">
                  <c:v>0.44103727999717834</c:v>
                </c:pt>
                <c:pt idx="9">
                  <c:v>0.44501098003390405</c:v>
                </c:pt>
                <c:pt idx="10">
                  <c:v>0.45105022065209949</c:v>
                </c:pt>
                <c:pt idx="11">
                  <c:v>0.45883567591039998</c:v>
                </c:pt>
                <c:pt idx="12">
                  <c:v>0.47047142541469944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BDE-409A-A7D5-A01920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6816"/>
        <c:axId val="413160736"/>
      </c:scatterChart>
      <c:valAx>
        <c:axId val="41316112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0344"/>
        <c:crosses val="autoZero"/>
        <c:crossBetween val="midCat"/>
      </c:valAx>
      <c:valAx>
        <c:axId val="4131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1128"/>
        <c:crosses val="autoZero"/>
        <c:crossBetween val="midCat"/>
      </c:valAx>
      <c:valAx>
        <c:axId val="41316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6816"/>
        <c:crosses val="max"/>
        <c:crossBetween val="midCat"/>
      </c:valAx>
      <c:valAx>
        <c:axId val="41315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1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RC12 review PREMIER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CORRECTED TO 3500rpm and SG=1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021395894788502E-2"/>
          <c:y val="8.0989898989898987E-2"/>
          <c:w val="0.92969054142057173"/>
          <c:h val="0.73502346297621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compare!$G$21</c:f>
              <c:strCache>
                <c:ptCount val="1"/>
                <c:pt idx="0">
                  <c:v>catalog curve TDH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657B2C9B-3D17-41F7-9811-589FC93A705D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compare!$B$6:$B$18</c:f>
              <c:numCache>
                <c:formatCode>General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2E9-4D51-9AE3-3E6B9B722030}"/>
            </c:ext>
          </c:extLst>
        </c:ser>
        <c:ser>
          <c:idx val="2"/>
          <c:order val="2"/>
          <c:tx>
            <c:strRef>
              <c:f>compare!$G$23</c:f>
              <c:strCache>
                <c:ptCount val="1"/>
                <c:pt idx="0">
                  <c:v>catalog curve 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8A18F3DE-3505-411F-A1CB-7038D8F8CC5A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compare!$D$6:$D$18</c:f>
              <c:numCache>
                <c:formatCode>General</c:formatCode>
                <c:ptCount val="13"/>
                <c:pt idx="6">
                  <c:v>63.643217992758629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D2E9-4D51-9AE3-3E6B9B722030}"/>
            </c:ext>
          </c:extLst>
        </c:ser>
        <c:ser>
          <c:idx val="3"/>
          <c:order val="3"/>
          <c:tx>
            <c:strRef>
              <c:f>compare!$G$24</c:f>
              <c:strCache>
                <c:ptCount val="1"/>
                <c:pt idx="0">
                  <c:v>RC12 "A" 26.2mm TDH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6B33BB85-52B0-45C6-858D-AEBE5746835E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compare!$K$6:$K$18</c:f>
              <c:numCache>
                <c:formatCode>General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D2E9-4D51-9AE3-3E6B9B722030}"/>
            </c:ext>
          </c:extLst>
        </c:ser>
        <c:ser>
          <c:idx val="5"/>
          <c:order val="5"/>
          <c:tx>
            <c:strRef>
              <c:f>compare!$G$26</c:f>
              <c:strCache>
                <c:ptCount val="1"/>
                <c:pt idx="0">
                  <c:v>RC12 "A" 26.2mm EFF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F629F4-AF9E-443A-9361-E432F07E4E13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compare!$J$12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compare!$M$12</c:f>
              <c:numCache>
                <c:formatCode>General</c:formatCode>
                <c:ptCount val="1"/>
                <c:pt idx="0">
                  <c:v>59.238589736026597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F-D2E9-4D51-9AE3-3E6B9B722030}"/>
            </c:ext>
          </c:extLst>
        </c:ser>
        <c:ser>
          <c:idx val="9"/>
          <c:order val="6"/>
          <c:tx>
            <c:strRef>
              <c:f>compare!$G$27</c:f>
              <c:strCache>
                <c:ptCount val="1"/>
                <c:pt idx="0">
                  <c:v>RC12 final TDH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D2E9-4D51-9AE3-3E6B9B722030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DA21B3-FFB0-48FF-A7AB-CB3613CF9851}" type="SERIESNAME">
                      <a:rPr lang="en-US">
                        <a:solidFill>
                          <a:srgbClr val="7030A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compare!$V$6:$V$18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compare!$W$6:$W$18</c:f>
              <c:numCache>
                <c:formatCode>General</c:formatCode>
                <c:ptCount val="13"/>
                <c:pt idx="0">
                  <c:v>36.152349999999998</c:v>
                </c:pt>
                <c:pt idx="1">
                  <c:v>36.251157285084368</c:v>
                </c:pt>
                <c:pt idx="2">
                  <c:v>35.861532179700006</c:v>
                </c:pt>
                <c:pt idx="3">
                  <c:v>35.061253102143844</c:v>
                </c:pt>
                <c:pt idx="4">
                  <c:v>33.814827840871864</c:v>
                </c:pt>
                <c:pt idx="5">
                  <c:v>32.098017238535441</c:v>
                </c:pt>
                <c:pt idx="6">
                  <c:v>29.903932787200006</c:v>
                </c:pt>
                <c:pt idx="7">
                  <c:v>27.236967817309861</c:v>
                </c:pt>
                <c:pt idx="8">
                  <c:v>24.106728686653131</c:v>
                </c:pt>
                <c:pt idx="9">
                  <c:v>20.521965969326455</c:v>
                </c:pt>
                <c:pt idx="10">
                  <c:v>16.4845056447</c:v>
                </c:pt>
                <c:pt idx="11">
                  <c:v>12.921682148800013</c:v>
                </c:pt>
                <c:pt idx="12">
                  <c:v>9.0481290848999905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E-D2E9-4D51-9AE3-3E6B9B722030}"/>
            </c:ext>
          </c:extLst>
        </c:ser>
        <c:ser>
          <c:idx val="11"/>
          <c:order val="8"/>
          <c:tx>
            <c:strRef>
              <c:f>compare!$G$29</c:f>
              <c:strCache>
                <c:ptCount val="1"/>
                <c:pt idx="0">
                  <c:v>RC12 final 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2E196-92B9-4F93-AF72-F6A9EF447DB1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compare!$Y$12</c:f>
              <c:numCache>
                <c:formatCode>General</c:formatCode>
                <c:ptCount val="1"/>
                <c:pt idx="0">
                  <c:v>61.196206797099919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0-D2E9-4D51-9AE3-3E6B9B7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7792"/>
        <c:axId val="413166616"/>
      </c:scatterChart>
      <c:scatterChart>
        <c:scatterStyle val="smoothMarker"/>
        <c:varyColors val="0"/>
        <c:ser>
          <c:idx val="1"/>
          <c:order val="1"/>
          <c:tx>
            <c:strRef>
              <c:f>compare!$G$22</c:f>
              <c:strCache>
                <c:ptCount val="1"/>
                <c:pt idx="0">
                  <c:v>catalog curve POWER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7C5EB27C-A3B8-47C4-8727-6EE095DBC04F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compare!$C$6:$C$18</c:f>
              <c:numCache>
                <c:formatCode>General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E-D2E9-4D51-9AE3-3E6B9B722030}"/>
            </c:ext>
          </c:extLst>
        </c:ser>
        <c:ser>
          <c:idx val="4"/>
          <c:order val="4"/>
          <c:tx>
            <c:strRef>
              <c:f>compare!$G$25</c:f>
              <c:strCache>
                <c:ptCount val="1"/>
                <c:pt idx="0">
                  <c:v>RC12 "A" 26.2mm POWER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E376FFBA-E9C0-4C93-B36E-96602804AA16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compare!$L$6:$L$18</c:f>
              <c:numCache>
                <c:formatCode>General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5C-D2E9-4D51-9AE3-3E6B9B722030}"/>
            </c:ext>
          </c:extLst>
        </c:ser>
        <c:ser>
          <c:idx val="10"/>
          <c:order val="7"/>
          <c:tx>
            <c:strRef>
              <c:f>compare!$G$28</c:f>
              <c:strCache>
                <c:ptCount val="1"/>
                <c:pt idx="0">
                  <c:v>RC12 final POWER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D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E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F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1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2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3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D2E9-4D51-9AE3-3E6B9B72203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942DD7B0-F097-42DC-980D-A56CCD2EE6B0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7-D2E9-4D51-9AE3-3E6B9B72203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compare!$V$6:$V$18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compare!$X$6:$X$18</c:f>
              <c:numCache>
                <c:formatCode>General</c:formatCode>
                <c:ptCount val="13"/>
                <c:pt idx="0">
                  <c:v>0.2451998</c:v>
                </c:pt>
                <c:pt idx="1">
                  <c:v>0.2962067484775156</c:v>
                </c:pt>
                <c:pt idx="2">
                  <c:v>0.37116667237049994</c:v>
                </c:pt>
                <c:pt idx="3">
                  <c:v>0.39244381137331985</c:v>
                </c:pt>
                <c:pt idx="4">
                  <c:v>0.40942515561307796</c:v>
                </c:pt>
                <c:pt idx="5">
                  <c:v>0.42230484685796316</c:v>
                </c:pt>
                <c:pt idx="6">
                  <c:v>0.43184078700799983</c:v>
                </c:pt>
                <c:pt idx="7">
                  <c:v>0.43922571408381783</c:v>
                </c:pt>
                <c:pt idx="8">
                  <c:v>0.44595827821542172</c:v>
                </c:pt>
                <c:pt idx="9">
                  <c:v>0.45371411763096114</c:v>
                </c:pt>
                <c:pt idx="10">
                  <c:v>0.46421693464549935</c:v>
                </c:pt>
                <c:pt idx="11">
                  <c:v>0.47570701131199955</c:v>
                </c:pt>
                <c:pt idx="12">
                  <c:v>0.490761008308499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78-D2E9-4D51-9AE3-3E6B9B7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7008"/>
        <c:axId val="413168968"/>
      </c:scatterChart>
      <c:valAx>
        <c:axId val="413167792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6616"/>
        <c:crosses val="autoZero"/>
        <c:crossBetween val="midCat"/>
      </c:valAx>
      <c:valAx>
        <c:axId val="4131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7792"/>
        <c:crosses val="autoZero"/>
        <c:crossBetween val="midCat"/>
      </c:valAx>
      <c:valAx>
        <c:axId val="41316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7008"/>
        <c:crosses val="max"/>
        <c:crossBetween val="midCat"/>
      </c:valAx>
      <c:valAx>
        <c:axId val="4131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16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"A" 26.2mm'!$I$60:$I$72</c:f>
              <c:numCache>
                <c:formatCode>0.00</c:formatCode>
                <c:ptCount val="13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26.2mm'!$L$60:$L$72</c:f>
              <c:numCache>
                <c:formatCode>0.00</c:formatCode>
                <c:ptCount val="13"/>
                <c:pt idx="0">
                  <c:v>33.56</c:v>
                </c:pt>
                <c:pt idx="1">
                  <c:v>34.31</c:v>
                </c:pt>
                <c:pt idx="2">
                  <c:v>33.9</c:v>
                </c:pt>
                <c:pt idx="3">
                  <c:v>33.450000000000003</c:v>
                </c:pt>
                <c:pt idx="4">
                  <c:v>32.1</c:v>
                </c:pt>
                <c:pt idx="5">
                  <c:v>28.29</c:v>
                </c:pt>
                <c:pt idx="6">
                  <c:v>24.83</c:v>
                </c:pt>
                <c:pt idx="7">
                  <c:v>20.149999999999999</c:v>
                </c:pt>
                <c:pt idx="8">
                  <c:v>14.28</c:v>
                </c:pt>
                <c:pt idx="9">
                  <c:v>9.86</c:v>
                </c:pt>
                <c:pt idx="10">
                  <c:v>0.14000000000000001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67-400D-A931-D6B78A8E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99896"/>
        <c:axId val="409010088"/>
      </c:scatterChart>
      <c:valAx>
        <c:axId val="40899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0088"/>
        <c:crosses val="autoZero"/>
        <c:crossBetween val="midCat"/>
      </c:valAx>
      <c:valAx>
        <c:axId val="40901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999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"A" 26.2mm'!$I$60:$I$72</c:f>
              <c:numCache>
                <c:formatCode>0.00</c:formatCode>
                <c:ptCount val="13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26.2mm'!$O$60:$O$72</c:f>
              <c:numCache>
                <c:formatCode>0.000</c:formatCode>
                <c:ptCount val="13"/>
                <c:pt idx="0">
                  <c:v>0.25900000000000001</c:v>
                </c:pt>
                <c:pt idx="1">
                  <c:v>0.312</c:v>
                </c:pt>
                <c:pt idx="2">
                  <c:v>0.38400000000000001</c:v>
                </c:pt>
                <c:pt idx="3">
                  <c:v>0.41799999999999998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0.45200000000000001</c:v>
                </c:pt>
                <c:pt idx="9">
                  <c:v>0.47099999999999997</c:v>
                </c:pt>
                <c:pt idx="10">
                  <c:v>0.502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541-4A48-8A4A-30F109BE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1856"/>
        <c:axId val="409006952"/>
      </c:scatterChart>
      <c:valAx>
        <c:axId val="4090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6952"/>
        <c:crosses val="autoZero"/>
        <c:crossBetween val="midCat"/>
      </c:valAx>
      <c:valAx>
        <c:axId val="40900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1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RC12 ODI sheet marked "A"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"A" 26.2mm'!$T$56:$W$56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"A" 26.2mm'!$T$62:$T$70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26.2mm'!$W$62:$W$70</c:f>
              <c:numCache>
                <c:formatCode>0.0</c:formatCode>
                <c:ptCount val="9"/>
                <c:pt idx="0">
                  <c:v>46.365699494073226</c:v>
                </c:pt>
                <c:pt idx="1">
                  <c:v>51.02111944342321</c:v>
                </c:pt>
                <c:pt idx="2">
                  <c:v>55.025061358872186</c:v>
                </c:pt>
                <c:pt idx="3">
                  <c:v>57.976064254782131</c:v>
                </c:pt>
                <c:pt idx="4">
                  <c:v>59.238589736026597</c:v>
                </c:pt>
                <c:pt idx="5">
                  <c:v>58.033651898663898</c:v>
                </c:pt>
                <c:pt idx="6">
                  <c:v>53.620136690235434</c:v>
                </c:pt>
                <c:pt idx="7">
                  <c:v>45.584494028872562</c:v>
                </c:pt>
                <c:pt idx="8">
                  <c:v>34.176469107704904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05-48CC-9251-A803E0BF2B24}"/>
            </c:ext>
          </c:extLst>
        </c:ser>
        <c:ser>
          <c:idx val="1"/>
          <c:order val="1"/>
          <c:tx>
            <c:strRef>
              <c:f>'RC12 "A" 26.2mm'!$X$57:$AB$57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"A" 26.2mm'!$T$66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"A" 26.2mm'!$AB$66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E05-48CC-9251-A803E0BF2B24}"/>
            </c:ext>
          </c:extLst>
        </c:ser>
        <c:ser>
          <c:idx val="2"/>
          <c:order val="2"/>
          <c:tx>
            <c:strRef>
              <c:f>'RC12 "A" 26.2mm'!$Q$56:$S$56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"A" 26.2mm'!$T$66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"A" 26.2mm'!$I$3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E05-48CC-9251-A803E0BF2B24}"/>
            </c:ext>
          </c:extLst>
        </c:ser>
        <c:ser>
          <c:idx val="3"/>
          <c:order val="3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E05-48CC-9251-A803E0BF2B24}"/>
            </c:ext>
          </c:extLst>
        </c:ser>
        <c:ser>
          <c:idx val="5"/>
          <c:order val="4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E05-48CC-9251-A803E0BF2B24}"/>
            </c:ext>
          </c:extLst>
        </c:ser>
        <c:ser>
          <c:idx val="4"/>
          <c:order val="5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E05-48CC-9251-A803E0BF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10480"/>
        <c:axId val="409004992"/>
      </c:scatterChart>
      <c:valAx>
        <c:axId val="409010480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4992"/>
        <c:crosses val="autoZero"/>
        <c:crossBetween val="midCat"/>
        <c:majorUnit val="500"/>
      </c:valAx>
      <c:valAx>
        <c:axId val="409004992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0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RC12 ODI sheet marked "B"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"B" original 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"B" original 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EA-46C1-8181-C2E8625E48C3}"/>
            </c:ext>
          </c:extLst>
        </c:ser>
        <c:ser>
          <c:idx val="1"/>
          <c:order val="1"/>
          <c:tx>
            <c:strRef>
              <c:f>'RC12 "B" original 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EA-46C1-8181-C2E8625E48C3}"/>
            </c:ext>
          </c:extLst>
        </c:ser>
        <c:ser>
          <c:idx val="2"/>
          <c:order val="2"/>
          <c:tx>
            <c:strRef>
              <c:f>'RC12 "B" original 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EA-46C1-8181-C2E8625E48C3}"/>
            </c:ext>
          </c:extLst>
        </c:ser>
        <c:ser>
          <c:idx val="3"/>
          <c:order val="3"/>
          <c:tx>
            <c:strRef>
              <c:f>'RC12 "B" original 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"B" original 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mm'!$U$60:$U$72</c:f>
              <c:numCache>
                <c:formatCode>0.0000</c:formatCode>
                <c:ptCount val="13"/>
                <c:pt idx="0">
                  <c:v>33.794460000000001</c:v>
                </c:pt>
                <c:pt idx="1">
                  <c:v>34.354900929337191</c:v>
                </c:pt>
                <c:pt idx="2">
                  <c:v>34.51272253778999</c:v>
                </c:pt>
                <c:pt idx="3">
                  <c:v>34.119181002032434</c:v>
                </c:pt>
                <c:pt idx="4">
                  <c:v>33.233779162375939</c:v>
                </c:pt>
                <c:pt idx="5">
                  <c:v>31.698514184140343</c:v>
                </c:pt>
                <c:pt idx="6">
                  <c:v>29.388394487040003</c:v>
                </c:pt>
                <c:pt idx="7">
                  <c:v>26.234995520330287</c:v>
                </c:pt>
                <c:pt idx="8">
                  <c:v>22.250015537954063</c:v>
                </c:pt>
                <c:pt idx="9">
                  <c:v>17.548831373688209</c:v>
                </c:pt>
                <c:pt idx="10">
                  <c:v>12.37405421629002</c:v>
                </c:pt>
                <c:pt idx="11">
                  <c:v>8.1519431529600013</c:v>
                </c:pt>
                <c:pt idx="12">
                  <c:v>4.1558365950299958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EA-46C1-8181-C2E8625E48C3}"/>
            </c:ext>
          </c:extLst>
        </c:ser>
        <c:ser>
          <c:idx val="4"/>
          <c:order val="4"/>
          <c:tx>
            <c:strRef>
              <c:f>'RC12 "B" original 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"B" original mm'!$I$60:$I$70</c:f>
              <c:numCache>
                <c:formatCode>0.00</c:formatCode>
                <c:ptCount val="11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</c:numCache>
            </c:numRef>
          </c:xVal>
          <c:yVal>
            <c:numRef>
              <c:f>'RC12 "B" original mm'!$L$60:$L$70</c:f>
              <c:numCache>
                <c:formatCode>0.00</c:formatCode>
                <c:ptCount val="11"/>
                <c:pt idx="0">
                  <c:v>33.85</c:v>
                </c:pt>
                <c:pt idx="1">
                  <c:v>34.65</c:v>
                </c:pt>
                <c:pt idx="2">
                  <c:v>34.24</c:v>
                </c:pt>
                <c:pt idx="3">
                  <c:v>33.83</c:v>
                </c:pt>
                <c:pt idx="4">
                  <c:v>33.03</c:v>
                </c:pt>
                <c:pt idx="5">
                  <c:v>31.71</c:v>
                </c:pt>
                <c:pt idx="6">
                  <c:v>27.87</c:v>
                </c:pt>
                <c:pt idx="7">
                  <c:v>23.02</c:v>
                </c:pt>
                <c:pt idx="8">
                  <c:v>17.829999999999998</c:v>
                </c:pt>
                <c:pt idx="9">
                  <c:v>12.26</c:v>
                </c:pt>
                <c:pt idx="10">
                  <c:v>6.6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9EA-46C1-8181-C2E8625E48C3}"/>
            </c:ext>
          </c:extLst>
        </c:ser>
        <c:ser>
          <c:idx val="5"/>
          <c:order val="5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9EA-46C1-8181-C2E8625E48C3}"/>
            </c:ext>
          </c:extLst>
        </c:ser>
        <c:ser>
          <c:idx val="6"/>
          <c:order val="6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9EA-46C1-8181-C2E8625E48C3}"/>
            </c:ext>
          </c:extLst>
        </c:ser>
        <c:ser>
          <c:idx val="7"/>
          <c:order val="7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49EA-46C1-8181-C2E8625E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0288"/>
        <c:axId val="408999112"/>
      </c:scatterChart>
      <c:valAx>
        <c:axId val="409000288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999112"/>
        <c:crosses val="autoZero"/>
        <c:crossBetween val="midCat"/>
        <c:majorUnit val="500"/>
      </c:valAx>
      <c:valAx>
        <c:axId val="408999112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0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RC12 ODI sheet marked "B"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"B" original 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"B" original 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20A-4F46-A9E2-D4860A2EA8B7}"/>
            </c:ext>
          </c:extLst>
        </c:ser>
        <c:ser>
          <c:idx val="0"/>
          <c:order val="1"/>
          <c:tx>
            <c:strRef>
              <c:f>'RC12 "B" original 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20A-4F46-A9E2-D4860A2EA8B7}"/>
            </c:ext>
          </c:extLst>
        </c:ser>
        <c:ser>
          <c:idx val="2"/>
          <c:order val="2"/>
          <c:tx>
            <c:strRef>
              <c:f>'RC12 "B" original 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20A-4F46-A9E2-D4860A2EA8B7}"/>
            </c:ext>
          </c:extLst>
        </c:ser>
        <c:ser>
          <c:idx val="3"/>
          <c:order val="3"/>
          <c:tx>
            <c:strRef>
              <c:f>'RC12 "B" original 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"B" original 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mm'!$V$60:$V$72</c:f>
              <c:numCache>
                <c:formatCode>0.0000</c:formatCode>
                <c:ptCount val="13"/>
                <c:pt idx="0">
                  <c:v>0.28023160000000003</c:v>
                </c:pt>
                <c:pt idx="1">
                  <c:v>0.31168362091631252</c:v>
                </c:pt>
                <c:pt idx="2">
                  <c:v>0.41060419946200011</c:v>
                </c:pt>
                <c:pt idx="3">
                  <c:v>0.43340526125765438</c:v>
                </c:pt>
                <c:pt idx="4">
                  <c:v>0.44719898518856271</c:v>
                </c:pt>
                <c:pt idx="5">
                  <c:v>0.45310429850326006</c:v>
                </c:pt>
                <c:pt idx="6">
                  <c:v>0.45323777171200008</c:v>
                </c:pt>
                <c:pt idx="7">
                  <c:v>0.45011474871370893</c:v>
                </c:pt>
                <c:pt idx="8">
                  <c:v>0.44605047692293742</c:v>
                </c:pt>
                <c:pt idx="9">
                  <c:v>0.4425612373968153</c:v>
                </c:pt>
                <c:pt idx="10">
                  <c:v>0.43976547496200036</c:v>
                </c:pt>
                <c:pt idx="11">
                  <c:v>0.43684835900800234</c:v>
                </c:pt>
                <c:pt idx="12">
                  <c:v>0.4310927009740011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20A-4F46-A9E2-D4860A2EA8B7}"/>
            </c:ext>
          </c:extLst>
        </c:ser>
        <c:ser>
          <c:idx val="4"/>
          <c:order val="4"/>
          <c:tx>
            <c:strRef>
              <c:f>'RC12 "B" original 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"B" original mm'!$H$60:$H$70</c:f>
              <c:numCache>
                <c:formatCode>0.00</c:formatCode>
                <c:ptCount val="11"/>
                <c:pt idx="0">
                  <c:v>35.200000000000003</c:v>
                </c:pt>
                <c:pt idx="1">
                  <c:v>389.90000000000003</c:v>
                </c:pt>
                <c:pt idx="2">
                  <c:v>679</c:v>
                </c:pt>
                <c:pt idx="3">
                  <c:v>822</c:v>
                </c:pt>
                <c:pt idx="4">
                  <c:v>974.1</c:v>
                </c:pt>
                <c:pt idx="5">
                  <c:v>1117.3999999999999</c:v>
                </c:pt>
                <c:pt idx="6">
                  <c:v>1273.5999999999999</c:v>
                </c:pt>
                <c:pt idx="7">
                  <c:v>1412.8</c:v>
                </c:pt>
                <c:pt idx="8">
                  <c:v>1555.6</c:v>
                </c:pt>
                <c:pt idx="9">
                  <c:v>1709.1</c:v>
                </c:pt>
                <c:pt idx="10">
                  <c:v>1845.1</c:v>
                </c:pt>
              </c:numCache>
            </c:numRef>
          </c:xVal>
          <c:yVal>
            <c:numRef>
              <c:f>'RC12 "B" original mm'!$N$60:$N$70</c:f>
              <c:numCache>
                <c:formatCode>0.000</c:formatCode>
                <c:ptCount val="11"/>
                <c:pt idx="0">
                  <c:v>0.27300000000000002</c:v>
                </c:pt>
                <c:pt idx="1">
                  <c:v>0.318</c:v>
                </c:pt>
                <c:pt idx="2">
                  <c:v>0.42299999999999999</c:v>
                </c:pt>
                <c:pt idx="3">
                  <c:v>0.42699999999999999</c:v>
                </c:pt>
                <c:pt idx="4">
                  <c:v>0.435</c:v>
                </c:pt>
                <c:pt idx="5">
                  <c:v>0.45700000000000002</c:v>
                </c:pt>
                <c:pt idx="6">
                  <c:v>0.46</c:v>
                </c:pt>
                <c:pt idx="7">
                  <c:v>0.44600000000000001</c:v>
                </c:pt>
                <c:pt idx="8">
                  <c:v>0.443</c:v>
                </c:pt>
                <c:pt idx="9">
                  <c:v>0.439</c:v>
                </c:pt>
                <c:pt idx="10">
                  <c:v>0.435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20A-4F46-A9E2-D4860A2EA8B7}"/>
            </c:ext>
          </c:extLst>
        </c:ser>
        <c:ser>
          <c:idx val="5"/>
          <c:order val="5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20A-4F46-A9E2-D4860A2EA8B7}"/>
            </c:ext>
          </c:extLst>
        </c:ser>
        <c:ser>
          <c:idx val="6"/>
          <c:order val="6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20A-4F46-A9E2-D4860A2EA8B7}"/>
            </c:ext>
          </c:extLst>
        </c:ser>
        <c:ser>
          <c:idx val="7"/>
          <c:order val="7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20A-4F46-A9E2-D4860A2E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0680"/>
        <c:axId val="409003032"/>
      </c:scatterChart>
      <c:valAx>
        <c:axId val="40900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3032"/>
        <c:crosses val="autoZero"/>
        <c:crossBetween val="midCat"/>
        <c:majorUnit val="500"/>
      </c:valAx>
      <c:valAx>
        <c:axId val="409003032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0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"B" original mm'!$I$60:$I$72</c:f>
              <c:numCache>
                <c:formatCode>0.00</c:formatCode>
                <c:ptCount val="13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  <c:pt idx="11">
                  <c:v>2015.55</c:v>
                </c:pt>
              </c:numCache>
            </c:numRef>
          </c:xVal>
          <c:yVal>
            <c:numRef>
              <c:f>'RC12 "B" original mm'!$L$60:$L$72</c:f>
              <c:numCache>
                <c:formatCode>0.00</c:formatCode>
                <c:ptCount val="13"/>
                <c:pt idx="0">
                  <c:v>33.85</c:v>
                </c:pt>
                <c:pt idx="1">
                  <c:v>34.65</c:v>
                </c:pt>
                <c:pt idx="2">
                  <c:v>34.24</c:v>
                </c:pt>
                <c:pt idx="3">
                  <c:v>33.83</c:v>
                </c:pt>
                <c:pt idx="4">
                  <c:v>33.03</c:v>
                </c:pt>
                <c:pt idx="5">
                  <c:v>31.71</c:v>
                </c:pt>
                <c:pt idx="6">
                  <c:v>27.87</c:v>
                </c:pt>
                <c:pt idx="7">
                  <c:v>23.02</c:v>
                </c:pt>
                <c:pt idx="8">
                  <c:v>17.829999999999998</c:v>
                </c:pt>
                <c:pt idx="9">
                  <c:v>12.26</c:v>
                </c:pt>
                <c:pt idx="10">
                  <c:v>6.6</c:v>
                </c:pt>
                <c:pt idx="11">
                  <c:v>0.15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EBB-4210-8AAA-C34B27C9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3816"/>
        <c:axId val="409008520"/>
      </c:scatterChart>
      <c:valAx>
        <c:axId val="40900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8520"/>
        <c:crosses val="autoZero"/>
        <c:crossBetween val="midCat"/>
      </c:valAx>
      <c:valAx>
        <c:axId val="40900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03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"B" original mm'!$I$60:$I$72</c:f>
              <c:numCache>
                <c:formatCode>0.00</c:formatCode>
                <c:ptCount val="13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  <c:pt idx="11">
                  <c:v>2015.55</c:v>
                </c:pt>
              </c:numCache>
            </c:numRef>
          </c:xVal>
          <c:yVal>
            <c:numRef>
              <c:f>'RC12 "B" original mm'!$O$60:$O$72</c:f>
              <c:numCache>
                <c:formatCode>0.000</c:formatCode>
                <c:ptCount val="13"/>
                <c:pt idx="0">
                  <c:v>0.27300000000000002</c:v>
                </c:pt>
                <c:pt idx="1">
                  <c:v>0.318</c:v>
                </c:pt>
                <c:pt idx="2">
                  <c:v>0.42299999999999999</c:v>
                </c:pt>
                <c:pt idx="3">
                  <c:v>0.42599999999999999</c:v>
                </c:pt>
                <c:pt idx="4">
                  <c:v>0.435</c:v>
                </c:pt>
                <c:pt idx="5">
                  <c:v>0.45700000000000002</c:v>
                </c:pt>
                <c:pt idx="6">
                  <c:v>0.46</c:v>
                </c:pt>
                <c:pt idx="7">
                  <c:v>0.44600000000000001</c:v>
                </c:pt>
                <c:pt idx="8">
                  <c:v>0.442</c:v>
                </c:pt>
                <c:pt idx="9">
                  <c:v>0.439</c:v>
                </c:pt>
                <c:pt idx="10">
                  <c:v>0.434</c:v>
                </c:pt>
                <c:pt idx="11">
                  <c:v>0.41699999999999998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57E-4E56-9494-821B8C63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12048"/>
        <c:axId val="409013616"/>
      </c:scatterChart>
      <c:valAx>
        <c:axId val="4090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3616"/>
        <c:crosses val="autoZero"/>
        <c:crossBetween val="midCat"/>
      </c:valAx>
      <c:valAx>
        <c:axId val="40901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012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2569" name="Chart 1">
          <a:extLst>
            <a:ext uri="{FF2B5EF4-FFF2-40B4-BE49-F238E27FC236}">
              <a16:creationId xmlns="" xmlns:a16="http://schemas.microsoft.com/office/drawing/2014/main" id="{AD677361-1548-4F4A-87D4-CE42A1D12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22570" name="Chart 2">
          <a:extLst>
            <a:ext uri="{FF2B5EF4-FFF2-40B4-BE49-F238E27FC236}">
              <a16:creationId xmlns="" xmlns:a16="http://schemas.microsoft.com/office/drawing/2014/main" id="{4501CDCF-E845-4067-9222-3DC6878C3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22571" name="Chart 3">
          <a:extLst>
            <a:ext uri="{FF2B5EF4-FFF2-40B4-BE49-F238E27FC236}">
              <a16:creationId xmlns="" xmlns:a16="http://schemas.microsoft.com/office/drawing/2014/main" id="{9C76776A-2D03-42BC-B5B6-94AB7E543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22572" name="Chart 4">
          <a:extLst>
            <a:ext uri="{FF2B5EF4-FFF2-40B4-BE49-F238E27FC236}">
              <a16:creationId xmlns="" xmlns:a16="http://schemas.microsoft.com/office/drawing/2014/main" id="{C209E0FA-B932-48D4-95C0-2A1065B54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22573" name="Chart 5">
          <a:extLst>
            <a:ext uri="{FF2B5EF4-FFF2-40B4-BE49-F238E27FC236}">
              <a16:creationId xmlns="" xmlns:a16="http://schemas.microsoft.com/office/drawing/2014/main" id="{6BC3E39F-2E42-4786-A711-2D0DB1208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9E41115-C1D0-4350-B495-BD50C676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D82F618-9350-41BF-9A5F-3B7DBB24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2BFA97C-7016-42D5-8EC0-5F7646B2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8306571-2199-47F5-A324-B52FA3E8C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CFDA42CF-327C-492B-BFAF-E6ADBD5B5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8DA33C2-39D4-4B5E-B3F8-CD57F005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405D927-93D2-4201-AB7F-FD0B7DFF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3E8DBEE-AE88-43D8-8922-DFA02670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6743B07-518B-4A3A-BAFC-BD79A7C6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5FA3A81-299C-41E7-B1C3-65E62BFE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3AE466D-E290-4898-8769-7609EB3AD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4C722B8-0380-43F4-AA37-059037F3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935CE25-0766-4256-94D8-8A1E2D67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265BDB9-FFB3-425D-BFE0-769F07BB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894DD6-079F-4B6F-BF46-613FB98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2C92473-F012-4DA8-B58A-72B4ECB42F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CE721EC-491F-40DA-B5DE-9510D5C62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6"/>
  <sheetViews>
    <sheetView tabSelected="1" topLeftCell="M49" zoomScale="90" zoomScaleNormal="90" workbookViewId="0">
      <selection activeCell="P79" sqref="P79:R89"/>
    </sheetView>
  </sheetViews>
  <sheetFormatPr defaultRowHeight="12.75" x14ac:dyDescent="0.2"/>
  <cols>
    <col min="1" max="1" width="12.7109375" customWidth="1"/>
    <col min="2" max="2" width="14.140625" bestFit="1" customWidth="1"/>
    <col min="3" max="3" width="15.28515625" bestFit="1" customWidth="1"/>
    <col min="4" max="4" width="14.140625" bestFit="1" customWidth="1"/>
    <col min="5" max="5" width="13" bestFit="1" customWidth="1"/>
    <col min="6" max="6" width="13.28515625" bestFit="1" customWidth="1"/>
    <col min="7" max="7" width="13.85546875" bestFit="1" customWidth="1"/>
    <col min="8" max="8" width="14.140625" customWidth="1"/>
    <col min="9" max="9" width="14.140625" bestFit="1" customWidth="1"/>
    <col min="10" max="10" width="14.42578125" bestFit="1" customWidth="1"/>
    <col min="11" max="11" width="13.85546875" bestFit="1" customWidth="1"/>
    <col min="12" max="12" width="14.7109375" bestFit="1" customWidth="1"/>
    <col min="13" max="13" width="14" customWidth="1"/>
    <col min="14" max="14" width="16.28515625" bestFit="1" customWidth="1"/>
    <col min="15" max="15" width="14" bestFit="1" customWidth="1"/>
    <col min="16" max="16" width="14.140625" customWidth="1"/>
    <col min="17" max="18" width="34.5703125" style="267" bestFit="1" customWidth="1"/>
    <col min="19" max="19" width="34.140625" style="267" bestFit="1" customWidth="1"/>
    <col min="20" max="20" width="13.5703125" style="3" bestFit="1" customWidth="1"/>
    <col min="21" max="22" width="13.85546875" bestFit="1" customWidth="1"/>
    <col min="23" max="23" width="14.7109375" bestFit="1" customWidth="1"/>
    <col min="24" max="24" width="13.5703125" bestFit="1" customWidth="1"/>
    <col min="25" max="25" width="14.7109375" bestFit="1" customWidth="1"/>
    <col min="26" max="26" width="13.5703125" bestFit="1" customWidth="1"/>
    <col min="27" max="27" width="14.42578125" bestFit="1" customWidth="1"/>
    <col min="28" max="28" width="13.42578125" bestFit="1" customWidth="1"/>
    <col min="29" max="29" width="14" bestFit="1" customWidth="1"/>
    <col min="30" max="30" width="13.42578125" bestFit="1" customWidth="1"/>
    <col min="31" max="31" width="13.7109375" customWidth="1"/>
    <col min="32" max="32" width="13.42578125" bestFit="1" customWidth="1"/>
  </cols>
  <sheetData>
    <row r="1" spans="1:32" ht="41.25" customHeight="1" x14ac:dyDescent="0.2">
      <c r="A1" s="302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4"/>
      <c r="O1" s="297" t="s">
        <v>38</v>
      </c>
      <c r="P1" s="298"/>
      <c r="Q1" s="298"/>
      <c r="R1" s="298"/>
      <c r="S1" s="298"/>
      <c r="T1" s="298"/>
      <c r="U1" s="297" t="s">
        <v>39</v>
      </c>
      <c r="V1" s="298"/>
      <c r="W1" s="298"/>
      <c r="X1" s="298"/>
      <c r="Y1" s="298"/>
      <c r="Z1" s="299"/>
    </row>
    <row r="2" spans="1:32" s="4" customFormat="1" ht="55.5" thickBot="1" x14ac:dyDescent="0.5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13" t="s">
        <v>3</v>
      </c>
      <c r="R2" s="13" t="s">
        <v>4</v>
      </c>
      <c r="S2" s="13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310" t="s">
        <v>133</v>
      </c>
      <c r="AB2" s="311"/>
      <c r="AC2" s="311"/>
      <c r="AD2" s="311"/>
      <c r="AE2" s="311"/>
      <c r="AF2" s="311"/>
    </row>
    <row r="3" spans="1:32" s="4" customFormat="1" ht="13.5" thickBot="1" x14ac:dyDescent="0.25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8">
        <f>'Pump coeff'!AC3</f>
        <v>-2.0896069999999999E-5</v>
      </c>
      <c r="R3" s="138">
        <f>'Pump coeff'!AD3</f>
        <v>3.1696020000000001E-8</v>
      </c>
      <c r="S3" s="138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5" thickBot="1" x14ac:dyDescent="0.25">
      <c r="A4" s="305" t="s">
        <v>181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140"/>
      <c r="P4" s="140"/>
      <c r="Q4" s="281"/>
      <c r="R4" s="281"/>
      <c r="S4" s="281"/>
      <c r="T4" s="140"/>
      <c r="U4" s="140"/>
      <c r="V4" s="140"/>
      <c r="W4" s="140"/>
      <c r="X4" s="140"/>
      <c r="Y4" s="140"/>
      <c r="Z4" s="235"/>
      <c r="AA4" s="257"/>
      <c r="AB4" s="258"/>
      <c r="AC4" s="258"/>
      <c r="AD4" s="258"/>
      <c r="AE4" s="258"/>
      <c r="AF4" s="259"/>
    </row>
    <row r="5" spans="1:32" ht="13.5" thickBot="1" x14ac:dyDescent="0.25">
      <c r="A5" s="307" t="s">
        <v>76</v>
      </c>
      <c r="B5" s="308"/>
      <c r="C5" s="309"/>
      <c r="D5" s="307" t="s">
        <v>84</v>
      </c>
      <c r="E5" s="308"/>
      <c r="F5" s="315"/>
      <c r="G5" s="315"/>
      <c r="H5" s="315"/>
      <c r="I5" s="316"/>
      <c r="J5" s="69"/>
      <c r="K5" s="69"/>
      <c r="L5" s="69"/>
      <c r="M5" s="69"/>
      <c r="N5" s="69"/>
      <c r="AA5" s="312" t="s">
        <v>180</v>
      </c>
      <c r="AB5" s="313"/>
      <c r="AC5" s="313"/>
      <c r="AD5" s="314"/>
    </row>
    <row r="6" spans="1:32" ht="38.25" customHeight="1" thickBot="1" x14ac:dyDescent="0.25">
      <c r="A6" s="63"/>
      <c r="B6" s="64"/>
      <c r="C6" s="65"/>
      <c r="D6" s="300" t="s">
        <v>85</v>
      </c>
      <c r="E6" s="301"/>
      <c r="F6" s="300" t="s">
        <v>86</v>
      </c>
      <c r="G6" s="301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5" thickBot="1" x14ac:dyDescent="0.25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282"/>
      <c r="R11" s="282"/>
      <c r="S11" s="282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282"/>
      <c r="R15" s="282"/>
      <c r="S15" s="282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282"/>
      <c r="R19" s="282"/>
      <c r="S19" s="282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5" thickBot="1" x14ac:dyDescent="0.25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x14ac:dyDescent="0.2">
      <c r="X49" s="317"/>
      <c r="Y49" s="317"/>
    </row>
    <row r="50" spans="1:32" ht="13.5" thickBot="1" x14ac:dyDescent="0.25">
      <c r="X50" s="124"/>
      <c r="Y50" s="125"/>
    </row>
    <row r="51" spans="1:32" ht="13.5" thickBot="1" x14ac:dyDescent="0.25">
      <c r="A51" s="324" t="s">
        <v>164</v>
      </c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6"/>
      <c r="M51" s="69"/>
      <c r="X51" s="124"/>
      <c r="Y51" s="125"/>
    </row>
    <row r="52" spans="1:32" x14ac:dyDescent="0.2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5" thickBot="1" x14ac:dyDescent="0.25">
      <c r="A53" s="77">
        <v>33.5443</v>
      </c>
      <c r="B53" s="78">
        <v>8.9144400000000003E-4</v>
      </c>
      <c r="C53" s="78">
        <v>4.6016930000000003E-7</v>
      </c>
      <c r="D53" s="78">
        <v>9.2655240000000005E-9</v>
      </c>
      <c r="E53" s="78">
        <v>-1.6258970000000001E-11</v>
      </c>
      <c r="F53" s="79">
        <v>4.6685809999999996E-15</v>
      </c>
      <c r="G53" s="205">
        <v>0.26505289999999998</v>
      </c>
      <c r="H53" s="206">
        <v>-1.7818719999999999E-4</v>
      </c>
      <c r="I53" s="206">
        <v>1.162726E-6</v>
      </c>
      <c r="J53" s="206">
        <v>-1.3167E-9</v>
      </c>
      <c r="K53" s="206">
        <v>5.8062090000000002E-13</v>
      </c>
      <c r="L53" s="207">
        <v>-8.7936129999999999E-17</v>
      </c>
      <c r="M53" s="83"/>
      <c r="X53" s="124"/>
      <c r="Y53" s="125"/>
    </row>
    <row r="54" spans="1:32" x14ac:dyDescent="0.2">
      <c r="X54" s="126"/>
      <c r="Y54" s="125"/>
    </row>
    <row r="55" spans="1:32" ht="13.5" thickBot="1" x14ac:dyDescent="0.25"/>
    <row r="56" spans="1:32" ht="13.5" thickBot="1" x14ac:dyDescent="0.25">
      <c r="A56" s="337" t="s">
        <v>150</v>
      </c>
      <c r="B56" s="338"/>
      <c r="C56" s="172">
        <v>1</v>
      </c>
      <c r="D56" s="335" t="s">
        <v>149</v>
      </c>
      <c r="E56" s="336"/>
      <c r="F56" s="336"/>
      <c r="G56" s="172">
        <v>62</v>
      </c>
      <c r="H56" s="321" t="s">
        <v>88</v>
      </c>
      <c r="I56" s="322"/>
      <c r="J56" s="322"/>
      <c r="K56" s="339"/>
      <c r="L56" s="339"/>
      <c r="M56" s="339"/>
      <c r="N56" s="339"/>
      <c r="O56" s="339"/>
      <c r="P56" s="340"/>
      <c r="Q56" s="327" t="s">
        <v>76</v>
      </c>
      <c r="R56" s="328"/>
      <c r="S56" s="329"/>
      <c r="T56" s="321" t="s">
        <v>90</v>
      </c>
      <c r="U56" s="322"/>
      <c r="V56" s="322"/>
      <c r="W56" s="330"/>
      <c r="AA56" s="3"/>
      <c r="AB56" s="3"/>
      <c r="AC56" s="3"/>
      <c r="AD56" s="3"/>
    </row>
    <row r="57" spans="1:32" ht="13.5" thickBot="1" x14ac:dyDescent="0.25">
      <c r="A57" s="324" t="s">
        <v>148</v>
      </c>
      <c r="B57" s="325"/>
      <c r="C57" s="325"/>
      <c r="D57" s="325"/>
      <c r="E57" s="325"/>
      <c r="F57" s="325"/>
      <c r="G57" s="326"/>
      <c r="H57" s="321" t="s">
        <v>87</v>
      </c>
      <c r="I57" s="334"/>
      <c r="J57" s="334"/>
      <c r="K57" s="339"/>
      <c r="L57" s="339"/>
      <c r="M57" s="339"/>
      <c r="N57" s="339"/>
      <c r="O57" s="339"/>
      <c r="P57" s="340"/>
      <c r="Q57" s="331" t="s">
        <v>87</v>
      </c>
      <c r="R57" s="332"/>
      <c r="S57" s="333"/>
      <c r="T57" s="321" t="s">
        <v>87</v>
      </c>
      <c r="U57" s="334"/>
      <c r="V57" s="334"/>
      <c r="W57" s="330"/>
      <c r="X57" s="321" t="s">
        <v>77</v>
      </c>
      <c r="Y57" s="322"/>
      <c r="Z57" s="322"/>
      <c r="AA57" s="322"/>
      <c r="AB57" s="323"/>
      <c r="AC57" s="3"/>
      <c r="AD57" s="3"/>
    </row>
    <row r="58" spans="1:32" x14ac:dyDescent="0.2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283" t="s">
        <v>70</v>
      </c>
      <c r="R58" s="284" t="s">
        <v>72</v>
      </c>
      <c r="S58" s="285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318" t="s">
        <v>94</v>
      </c>
      <c r="AD58" s="319"/>
      <c r="AE58" s="320"/>
    </row>
    <row r="59" spans="1:32" ht="13.5" thickBot="1" x14ac:dyDescent="0.25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286" t="s">
        <v>71</v>
      </c>
      <c r="R59" s="287" t="s">
        <v>73</v>
      </c>
      <c r="S59" s="288" t="s">
        <v>75</v>
      </c>
      <c r="T59" s="265" t="s">
        <v>71</v>
      </c>
      <c r="U59" s="266" t="s">
        <v>73</v>
      </c>
      <c r="V59" s="266" t="s">
        <v>75</v>
      </c>
      <c r="W59" s="261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">
      <c r="A60" s="181">
        <v>4.6829999999999998</v>
      </c>
      <c r="B60" s="174">
        <v>5.4</v>
      </c>
      <c r="C60" s="175">
        <v>2997.5</v>
      </c>
      <c r="D60" s="174">
        <v>23.95</v>
      </c>
      <c r="E60" s="187">
        <f>ROUND(C60*D60/9549,3)</f>
        <v>7.5179999999999998</v>
      </c>
      <c r="F60" s="173">
        <v>7.5170000000000003</v>
      </c>
      <c r="G60" s="184" t="str">
        <f>IF(OR(E60-F60&gt;0.001*F60,E60-F60&lt;(-0.001)*F60),"ALARM","OK")</f>
        <v>OK</v>
      </c>
      <c r="H60" s="188">
        <f>ROUNDUP((B60*6.28981)*(3500/C60),1)</f>
        <v>39.700000000000003</v>
      </c>
      <c r="I60" s="191">
        <v>39.659999999999997</v>
      </c>
      <c r="J60" s="204" t="str">
        <f>IF(OR(H60-I60&gt;0.005*I60,H60-I60&lt;(-0.005)*I60),"ALARM","OK")</f>
        <v>OK</v>
      </c>
      <c r="K60" s="195">
        <f t="shared" ref="K60:K70" si="12">ROUNDUP((A60*(1000/9.81)*$C$56*3.28/$G$56)*(3500/C60)^2,2)</f>
        <v>34.44</v>
      </c>
      <c r="L60" s="174">
        <v>33.56</v>
      </c>
      <c r="M60" s="196" t="str">
        <f t="shared" ref="M60:M70" si="13">IF(OR(K60-L60&gt;0.005*L60,K60-L60&lt;(-0.005)*L60),"ALARM","OK")</f>
        <v>ALARM</v>
      </c>
      <c r="N60" s="198">
        <f>ROUNDUP((F60/(0.746*$G$56))*(3500/C60)^3,3)</f>
        <v>0.25900000000000001</v>
      </c>
      <c r="O60" s="173">
        <v>0.25900000000000001</v>
      </c>
      <c r="P60" s="184" t="str">
        <f t="shared" ref="P60:P70" si="14">IF(OR(N60-O60&gt;0.005*O60,N60-O60&lt;(-0.005)*O60),"ALARM","OK")</f>
        <v>OK</v>
      </c>
      <c r="Q60" s="269">
        <v>0</v>
      </c>
      <c r="R60" s="270">
        <f>B9</f>
        <v>34.578919999999997</v>
      </c>
      <c r="S60" s="271">
        <f>C9</f>
        <v>0.25501099999999999</v>
      </c>
      <c r="T60" s="47">
        <v>0</v>
      </c>
      <c r="U60" s="48">
        <f>A53</f>
        <v>33.5443</v>
      </c>
      <c r="V60" s="260">
        <f>G53</f>
        <v>0.26505289999999998</v>
      </c>
      <c r="W60" s="50"/>
      <c r="X60" s="114"/>
      <c r="Y60" s="114"/>
      <c r="Z60" s="114"/>
      <c r="AA60" s="109"/>
      <c r="AB60" s="82"/>
      <c r="AC60" s="103"/>
      <c r="AD60" s="106"/>
      <c r="AE60" s="97"/>
    </row>
    <row r="61" spans="1:32" x14ac:dyDescent="0.2">
      <c r="A61" s="182">
        <v>4.7759999999999998</v>
      </c>
      <c r="B61" s="167">
        <v>53.46</v>
      </c>
      <c r="C61" s="168">
        <v>2995.1</v>
      </c>
      <c r="D61" s="167">
        <v>28.85</v>
      </c>
      <c r="E61" s="144">
        <f t="shared" ref="E61:E70" si="15">ROUND(C61*D61/9549,3)</f>
        <v>9.0489999999999995</v>
      </c>
      <c r="F61" s="166">
        <v>9.0449999999999999</v>
      </c>
      <c r="G61" s="185" t="str">
        <f t="shared" ref="G61:G70" si="16">IF(OR(E61-F61&gt;0.001*F61,E61-F61&lt;(-0.001)*F61),"ALARM","OK")</f>
        <v>OK</v>
      </c>
      <c r="H61" s="189">
        <f t="shared" ref="H61:H70" si="17">ROUNDUP((B61*6.28981)*(3500/C61),1)</f>
        <v>393</v>
      </c>
      <c r="I61" s="167">
        <v>392.94</v>
      </c>
      <c r="J61" s="185" t="str">
        <f t="shared" ref="J61:J70" si="18">IF(OR(H61-I61&gt;0.005*I61,H61-I61&lt;(-0.005)*I61),"ALARM","OK")</f>
        <v>OK</v>
      </c>
      <c r="K61" s="146">
        <f t="shared" si="12"/>
        <v>35.18</v>
      </c>
      <c r="L61" s="167">
        <v>34.31</v>
      </c>
      <c r="M61" s="197" t="str">
        <f t="shared" si="13"/>
        <v>ALARM</v>
      </c>
      <c r="N61" s="199">
        <f t="shared" ref="N61:N70" si="19">ROUNDUP((F61/(0.746*$G$56))*(3500/C61)^3,3)</f>
        <v>0.313</v>
      </c>
      <c r="O61" s="166">
        <v>0.312</v>
      </c>
      <c r="P61" s="185" t="str">
        <f t="shared" si="14"/>
        <v>OK</v>
      </c>
      <c r="Q61" s="272">
        <f>(Q60+Q62)/2</f>
        <v>350</v>
      </c>
      <c r="R61" s="273">
        <f t="shared" ref="R61:R72" si="20">$O$3+$P$3*Q61+$Q$3*Q61^2+$R$3*Q61^3+$S$3*Q61^4+$T$3*Q61^5</f>
        <v>34.024158746931249</v>
      </c>
      <c r="S61" s="274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34.090469574958433</v>
      </c>
      <c r="V61" s="161">
        <f t="shared" ref="V61:V72" si="23">$G$53+$H$53*T61+$I$53*T61^2+$J$53*T61^3+$K$53*T61^4+$L$53*T61^5</f>
        <v>0.29691888783784059</v>
      </c>
      <c r="W61" s="52"/>
      <c r="X61" s="115"/>
      <c r="Y61" s="115"/>
      <c r="Z61" s="115"/>
      <c r="AA61" s="110"/>
      <c r="AB61" s="83"/>
      <c r="AC61" s="104"/>
      <c r="AD61" s="107"/>
      <c r="AE61" s="98"/>
    </row>
    <row r="62" spans="1:32" x14ac:dyDescent="0.2">
      <c r="A62" s="182">
        <v>4.7140000000000004</v>
      </c>
      <c r="B62" s="167">
        <v>104.44</v>
      </c>
      <c r="C62" s="168">
        <v>2993.9</v>
      </c>
      <c r="D62" s="167">
        <v>35.479999999999997</v>
      </c>
      <c r="E62" s="144">
        <f t="shared" si="15"/>
        <v>11.124000000000001</v>
      </c>
      <c r="F62" s="166">
        <v>11.12</v>
      </c>
      <c r="G62" s="185" t="str">
        <f t="shared" si="16"/>
        <v>OK</v>
      </c>
      <c r="H62" s="190">
        <f t="shared" si="17"/>
        <v>768</v>
      </c>
      <c r="I62" s="167">
        <v>767.93</v>
      </c>
      <c r="J62" s="185" t="str">
        <f t="shared" si="18"/>
        <v>OK</v>
      </c>
      <c r="K62" s="192">
        <f t="shared" si="12"/>
        <v>34.75</v>
      </c>
      <c r="L62" s="167">
        <v>33.9</v>
      </c>
      <c r="M62" s="197" t="str">
        <f t="shared" si="13"/>
        <v>ALARM</v>
      </c>
      <c r="N62" s="200">
        <f t="shared" si="19"/>
        <v>0.38500000000000001</v>
      </c>
      <c r="O62" s="166">
        <v>0.38400000000000001</v>
      </c>
      <c r="P62" s="185" t="str">
        <f t="shared" si="14"/>
        <v>OK</v>
      </c>
      <c r="Q62" s="275">
        <f>$C$3</f>
        <v>700</v>
      </c>
      <c r="R62" s="276">
        <f t="shared" si="20"/>
        <v>32.470848099800001</v>
      </c>
      <c r="S62" s="277">
        <f t="shared" si="21"/>
        <v>0.33873762042499994</v>
      </c>
      <c r="T62" s="61">
        <f>$C$3</f>
        <v>700</v>
      </c>
      <c r="U62" s="41">
        <f t="shared" si="22"/>
        <v>34.452738200669998</v>
      </c>
      <c r="V62" s="41">
        <f t="shared" si="23"/>
        <v>0.38305715272089985</v>
      </c>
      <c r="W62" s="94">
        <f t="shared" ref="W62:W70" si="24">(T62*U62*100)/(135788*V62)</f>
        <v>46.365699494073226</v>
      </c>
      <c r="X62" s="263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">
      <c r="A63" s="182">
        <v>4.6539999999999999</v>
      </c>
      <c r="B63" s="167">
        <v>124.74</v>
      </c>
      <c r="C63" s="168">
        <v>2994.1</v>
      </c>
      <c r="D63" s="167">
        <v>38.57</v>
      </c>
      <c r="E63" s="144">
        <f t="shared" si="15"/>
        <v>12.093999999999999</v>
      </c>
      <c r="F63" s="166">
        <v>12.090999999999999</v>
      </c>
      <c r="G63" s="185" t="str">
        <f t="shared" si="16"/>
        <v>OK</v>
      </c>
      <c r="H63" s="189">
        <f t="shared" si="17"/>
        <v>917.2</v>
      </c>
      <c r="I63" s="167">
        <v>917.17</v>
      </c>
      <c r="J63" s="185" t="str">
        <f t="shared" si="18"/>
        <v>OK</v>
      </c>
      <c r="K63" s="146">
        <f t="shared" si="12"/>
        <v>34.299999999999997</v>
      </c>
      <c r="L63" s="167">
        <v>33.450000000000003</v>
      </c>
      <c r="M63" s="197" t="str">
        <f t="shared" si="13"/>
        <v>ALARM</v>
      </c>
      <c r="N63" s="201">
        <f t="shared" si="19"/>
        <v>0.41799999999999998</v>
      </c>
      <c r="O63" s="166">
        <v>0.41799999999999998</v>
      </c>
      <c r="P63" s="185" t="str">
        <f t="shared" si="14"/>
        <v>OK</v>
      </c>
      <c r="Q63" s="272">
        <f>(Q62+Q64)/2</f>
        <v>825</v>
      </c>
      <c r="R63" s="273">
        <f t="shared" si="20"/>
        <v>31.689462103857611</v>
      </c>
      <c r="S63" s="274">
        <f t="shared" si="21"/>
        <v>0.35255181358210447</v>
      </c>
      <c r="T63" s="51">
        <f>(T62+T64)/2</f>
        <v>825</v>
      </c>
      <c r="U63" s="8">
        <f t="shared" si="22"/>
        <v>34.047951952794271</v>
      </c>
      <c r="V63" s="8">
        <f t="shared" si="23"/>
        <v>0.40544651062018461</v>
      </c>
      <c r="W63" s="127">
        <f t="shared" si="24"/>
        <v>51.02111944342321</v>
      </c>
      <c r="X63" s="264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">
      <c r="A64" s="182">
        <v>4.4720000000000004</v>
      </c>
      <c r="B64" s="167">
        <v>145.84</v>
      </c>
      <c r="C64" s="168">
        <v>2994.6</v>
      </c>
      <c r="D64" s="167">
        <v>40.69</v>
      </c>
      <c r="E64" s="144">
        <f t="shared" si="15"/>
        <v>12.760999999999999</v>
      </c>
      <c r="F64" s="166">
        <v>12.757999999999999</v>
      </c>
      <c r="G64" s="185" t="str">
        <f t="shared" si="16"/>
        <v>OK</v>
      </c>
      <c r="H64" s="189">
        <f t="shared" si="17"/>
        <v>1072.1999999999998</v>
      </c>
      <c r="I64" s="167">
        <v>1072.0999999999999</v>
      </c>
      <c r="J64" s="185" t="str">
        <f t="shared" si="18"/>
        <v>OK</v>
      </c>
      <c r="K64" s="146">
        <f t="shared" si="12"/>
        <v>32.949999999999996</v>
      </c>
      <c r="L64" s="167">
        <v>32.1</v>
      </c>
      <c r="M64" s="197" t="str">
        <f t="shared" si="13"/>
        <v>ALARM</v>
      </c>
      <c r="N64" s="201">
        <f t="shared" si="19"/>
        <v>0.441</v>
      </c>
      <c r="O64" s="166">
        <v>0.441</v>
      </c>
      <c r="P64" s="185" t="str">
        <f t="shared" si="14"/>
        <v>OK</v>
      </c>
      <c r="Q64" s="272">
        <f>(Q62+Q66)/2</f>
        <v>950</v>
      </c>
      <c r="R64" s="273">
        <f t="shared" si="20"/>
        <v>30.623455699956246</v>
      </c>
      <c r="S64" s="274">
        <f t="shared" si="21"/>
        <v>0.36344069891328118</v>
      </c>
      <c r="T64" s="51">
        <f>(T62+T66)/2</f>
        <v>950</v>
      </c>
      <c r="U64" s="8">
        <f t="shared" si="22"/>
        <v>33.119929532162196</v>
      </c>
      <c r="V64" s="8">
        <f t="shared" si="23"/>
        <v>0.42110566331910304</v>
      </c>
      <c r="W64" s="127">
        <f t="shared" si="24"/>
        <v>55.025061358872186</v>
      </c>
      <c r="X64" s="264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FAIL</v>
      </c>
      <c r="AD64" s="100" t="str">
        <f t="shared" si="30"/>
        <v>FAIL</v>
      </c>
      <c r="AE64" s="101"/>
    </row>
    <row r="65" spans="1:32" x14ac:dyDescent="0.2">
      <c r="A65" s="182">
        <v>3.95</v>
      </c>
      <c r="B65" s="167">
        <v>167.8</v>
      </c>
      <c r="C65" s="168">
        <v>2993.5</v>
      </c>
      <c r="D65" s="167">
        <v>41.04</v>
      </c>
      <c r="E65" s="144">
        <f t="shared" si="15"/>
        <v>12.866</v>
      </c>
      <c r="F65" s="166">
        <v>12.861000000000001</v>
      </c>
      <c r="G65" s="185" t="str">
        <f t="shared" si="16"/>
        <v>OK</v>
      </c>
      <c r="H65" s="189">
        <f t="shared" si="17"/>
        <v>1234.0999999999999</v>
      </c>
      <c r="I65" s="167">
        <v>1233.99</v>
      </c>
      <c r="J65" s="185" t="str">
        <f t="shared" si="18"/>
        <v>OK</v>
      </c>
      <c r="K65" s="146">
        <f t="shared" si="12"/>
        <v>29.12</v>
      </c>
      <c r="L65" s="167">
        <v>28.29</v>
      </c>
      <c r="M65" s="197" t="str">
        <f t="shared" si="13"/>
        <v>ALARM</v>
      </c>
      <c r="N65" s="201">
        <f t="shared" si="19"/>
        <v>0.44500000000000001</v>
      </c>
      <c r="O65" s="166">
        <v>0.44500000000000001</v>
      </c>
      <c r="P65" s="185" t="str">
        <f t="shared" si="14"/>
        <v>OK</v>
      </c>
      <c r="Q65" s="272">
        <f>(Q64+Q66)/2</f>
        <v>1075</v>
      </c>
      <c r="R65" s="273">
        <f t="shared" si="20"/>
        <v>29.130005821933786</v>
      </c>
      <c r="S65" s="274">
        <f t="shared" si="21"/>
        <v>0.37117844488166507</v>
      </c>
      <c r="T65" s="51">
        <f>(T64+T66)/2</f>
        <v>1075</v>
      </c>
      <c r="U65" s="8">
        <f t="shared" si="22"/>
        <v>31.533916059611165</v>
      </c>
      <c r="V65" s="8">
        <f t="shared" si="23"/>
        <v>0.43060220573135166</v>
      </c>
      <c r="W65" s="127">
        <f t="shared" si="24"/>
        <v>57.976064254782131</v>
      </c>
      <c r="X65" s="264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FAIL</v>
      </c>
      <c r="AD65" s="100" t="str">
        <f t="shared" si="30"/>
        <v>FAIL</v>
      </c>
      <c r="AE65" s="101"/>
    </row>
    <row r="66" spans="1:32" x14ac:dyDescent="0.2">
      <c r="A66" s="182">
        <v>3.48</v>
      </c>
      <c r="B66" s="167">
        <v>185.58</v>
      </c>
      <c r="C66" s="168">
        <v>2993.3</v>
      </c>
      <c r="D66" s="167">
        <v>40.25</v>
      </c>
      <c r="E66" s="144">
        <f t="shared" si="15"/>
        <v>12.617000000000001</v>
      </c>
      <c r="F66" s="166">
        <v>12.614000000000001</v>
      </c>
      <c r="G66" s="185" t="str">
        <f t="shared" si="16"/>
        <v>OK</v>
      </c>
      <c r="H66" s="190">
        <f t="shared" si="17"/>
        <v>1364.8999999999999</v>
      </c>
      <c r="I66" s="167">
        <v>1364.87</v>
      </c>
      <c r="J66" s="185" t="str">
        <f t="shared" si="18"/>
        <v>OK</v>
      </c>
      <c r="K66" s="192">
        <f t="shared" si="12"/>
        <v>25.66</v>
      </c>
      <c r="L66" s="167">
        <v>24.83</v>
      </c>
      <c r="M66" s="197" t="str">
        <f t="shared" si="13"/>
        <v>ALARM</v>
      </c>
      <c r="N66" s="200">
        <f t="shared" si="19"/>
        <v>0.436</v>
      </c>
      <c r="O66" s="166">
        <v>0.436</v>
      </c>
      <c r="P66" s="185" t="str">
        <f t="shared" si="14"/>
        <v>OK</v>
      </c>
      <c r="Q66" s="275">
        <f>$F$3</f>
        <v>1200</v>
      </c>
      <c r="R66" s="276">
        <f t="shared" si="20"/>
        <v>27.062060604799996</v>
      </c>
      <c r="S66" s="277">
        <f t="shared" si="21"/>
        <v>0.37581834079999993</v>
      </c>
      <c r="T66" s="61">
        <f>$F$3</f>
        <v>1200</v>
      </c>
      <c r="U66" s="41">
        <f t="shared" si="22"/>
        <v>29.189825345919992</v>
      </c>
      <c r="V66" s="41">
        <f t="shared" si="23"/>
        <v>0.43545836723839981</v>
      </c>
      <c r="W66" s="94">
        <f t="shared" si="24"/>
        <v>59.238589736026597</v>
      </c>
      <c r="X66" s="263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">
      <c r="A67" s="182">
        <v>2.847</v>
      </c>
      <c r="B67" s="167">
        <v>204.09</v>
      </c>
      <c r="C67" s="168">
        <v>2994.3</v>
      </c>
      <c r="D67" s="167">
        <v>39.119999999999997</v>
      </c>
      <c r="E67" s="144">
        <f t="shared" si="15"/>
        <v>12.266999999999999</v>
      </c>
      <c r="F67" s="166">
        <v>12.265000000000001</v>
      </c>
      <c r="G67" s="185" t="str">
        <f t="shared" si="16"/>
        <v>OK</v>
      </c>
      <c r="H67" s="189">
        <f t="shared" si="17"/>
        <v>1500.5</v>
      </c>
      <c r="I67" s="167">
        <v>1500.46</v>
      </c>
      <c r="J67" s="185" t="str">
        <f t="shared" si="18"/>
        <v>OK</v>
      </c>
      <c r="K67" s="146">
        <f t="shared" si="12"/>
        <v>20.98</v>
      </c>
      <c r="L67" s="167">
        <v>20.149999999999999</v>
      </c>
      <c r="M67" s="197" t="str">
        <f t="shared" si="13"/>
        <v>ALARM</v>
      </c>
      <c r="N67" s="201">
        <f t="shared" si="19"/>
        <v>0.42399999999999999</v>
      </c>
      <c r="O67" s="166">
        <v>0.42399999999999999</v>
      </c>
      <c r="P67" s="185" t="str">
        <f t="shared" si="14"/>
        <v>OK</v>
      </c>
      <c r="Q67" s="272">
        <f>(Q66+Q68)/2</f>
        <v>1325</v>
      </c>
      <c r="R67" s="273">
        <f t="shared" si="20"/>
        <v>24.285252983369322</v>
      </c>
      <c r="S67" s="274">
        <f t="shared" si="21"/>
        <v>0.37764609578083502</v>
      </c>
      <c r="T67" s="51">
        <f>(T66+T68)/2</f>
        <v>1325</v>
      </c>
      <c r="U67" s="8">
        <f t="shared" si="22"/>
        <v>26.039336746056961</v>
      </c>
      <c r="V67" s="8">
        <f t="shared" si="23"/>
        <v>0.43782897996341696</v>
      </c>
      <c r="W67" s="127">
        <f t="shared" si="24"/>
        <v>58.033651898663898</v>
      </c>
      <c r="X67" s="264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">
      <c r="A68" s="182">
        <v>2.0489999999999999</v>
      </c>
      <c r="B68" s="167">
        <v>224.32</v>
      </c>
      <c r="C68" s="168">
        <v>2994</v>
      </c>
      <c r="D68" s="167">
        <v>41.74</v>
      </c>
      <c r="E68" s="144">
        <f t="shared" si="15"/>
        <v>13.087</v>
      </c>
      <c r="F68" s="166">
        <v>13.083</v>
      </c>
      <c r="G68" s="185" t="str">
        <f t="shared" si="16"/>
        <v>OK</v>
      </c>
      <c r="H68" s="189">
        <f t="shared" si="17"/>
        <v>1649.3999999999999</v>
      </c>
      <c r="I68" s="167">
        <v>1649.37</v>
      </c>
      <c r="J68" s="185" t="str">
        <f t="shared" si="18"/>
        <v>OK</v>
      </c>
      <c r="K68" s="146">
        <f t="shared" si="12"/>
        <v>15.11</v>
      </c>
      <c r="L68" s="167">
        <v>14.28</v>
      </c>
      <c r="M68" s="197" t="str">
        <f t="shared" si="13"/>
        <v>ALARM</v>
      </c>
      <c r="N68" s="201">
        <f t="shared" si="19"/>
        <v>0.45200000000000001</v>
      </c>
      <c r="O68" s="166">
        <v>0.45200000000000001</v>
      </c>
      <c r="P68" s="185" t="str">
        <f t="shared" si="14"/>
        <v>OK</v>
      </c>
      <c r="Q68" s="272">
        <f>(Q66+Q70)/2</f>
        <v>1450</v>
      </c>
      <c r="R68" s="273">
        <f t="shared" si="20"/>
        <v>20.694814290893756</v>
      </c>
      <c r="S68" s="274">
        <f t="shared" si="21"/>
        <v>0.37713313768671869</v>
      </c>
      <c r="T68" s="51">
        <f>(T66+T70)/2</f>
        <v>1450</v>
      </c>
      <c r="U68" s="8">
        <f t="shared" si="22"/>
        <v>22.102992013427802</v>
      </c>
      <c r="V68" s="8">
        <f t="shared" si="23"/>
        <v>0.44017944704519685</v>
      </c>
      <c r="W68" s="127">
        <f t="shared" si="24"/>
        <v>53.620136690235434</v>
      </c>
      <c r="X68" s="264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">
      <c r="A69" s="182">
        <v>1.448</v>
      </c>
      <c r="B69" s="167">
        <v>240.52</v>
      </c>
      <c r="C69" s="168">
        <v>2993.6</v>
      </c>
      <c r="D69" s="167">
        <v>43.49</v>
      </c>
      <c r="E69" s="144">
        <f t="shared" si="15"/>
        <v>13.634</v>
      </c>
      <c r="F69" s="166">
        <v>13.63</v>
      </c>
      <c r="G69" s="185" t="str">
        <f t="shared" si="16"/>
        <v>OK</v>
      </c>
      <c r="H69" s="189">
        <f t="shared" si="17"/>
        <v>1768.8</v>
      </c>
      <c r="I69" s="167">
        <v>1768.73</v>
      </c>
      <c r="J69" s="185" t="str">
        <f t="shared" si="18"/>
        <v>OK</v>
      </c>
      <c r="K69" s="146">
        <f t="shared" si="12"/>
        <v>10.68</v>
      </c>
      <c r="L69" s="167">
        <v>9.86</v>
      </c>
      <c r="M69" s="197" t="str">
        <f t="shared" si="13"/>
        <v>ALARM</v>
      </c>
      <c r="N69" s="201">
        <f t="shared" si="19"/>
        <v>0.47099999999999997</v>
      </c>
      <c r="O69" s="166">
        <v>0.47099999999999997</v>
      </c>
      <c r="P69" s="185" t="str">
        <f t="shared" si="14"/>
        <v>OK</v>
      </c>
      <c r="Q69" s="272">
        <f>(Q68+Q70)/2</f>
        <v>1575</v>
      </c>
      <c r="R69" s="273">
        <f t="shared" si="20"/>
        <v>16.232487857695538</v>
      </c>
      <c r="S69" s="274">
        <f t="shared" si="21"/>
        <v>0.37488991208039563</v>
      </c>
      <c r="T69" s="51">
        <f>(T68+T70)/2</f>
        <v>1575</v>
      </c>
      <c r="U69" s="8">
        <f t="shared" si="22"/>
        <v>17.487292154123864</v>
      </c>
      <c r="V69" s="8">
        <f t="shared" si="23"/>
        <v>0.44496371091208387</v>
      </c>
      <c r="W69" s="127">
        <f t="shared" si="24"/>
        <v>45.584494028872562</v>
      </c>
      <c r="X69" s="264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">
      <c r="A70" s="182">
        <v>3.3000000000000002E-2</v>
      </c>
      <c r="B70" s="167">
        <v>273.31</v>
      </c>
      <c r="C70" s="168">
        <v>2992.8</v>
      </c>
      <c r="D70" s="167">
        <v>46.29</v>
      </c>
      <c r="E70" s="144">
        <f t="shared" si="15"/>
        <v>14.507999999999999</v>
      </c>
      <c r="F70" s="166">
        <v>14.504</v>
      </c>
      <c r="G70" s="185" t="str">
        <f t="shared" si="16"/>
        <v>OK</v>
      </c>
      <c r="H70" s="190">
        <f t="shared" si="17"/>
        <v>2010.5</v>
      </c>
      <c r="I70" s="167">
        <v>2010.44</v>
      </c>
      <c r="J70" s="185" t="str">
        <f t="shared" si="18"/>
        <v>OK</v>
      </c>
      <c r="K70" s="192">
        <f t="shared" si="12"/>
        <v>0.25</v>
      </c>
      <c r="L70" s="167">
        <v>0.14000000000000001</v>
      </c>
      <c r="M70" s="197" t="str">
        <f t="shared" si="13"/>
        <v>ALARM</v>
      </c>
      <c r="N70" s="200">
        <f t="shared" si="19"/>
        <v>0.502</v>
      </c>
      <c r="O70" s="166">
        <v>0.502</v>
      </c>
      <c r="P70" s="185" t="str">
        <f t="shared" si="14"/>
        <v>OK</v>
      </c>
      <c r="Q70" s="275">
        <f>$J$3</f>
        <v>1700</v>
      </c>
      <c r="R70" s="276">
        <f t="shared" si="20"/>
        <v>10.90344260980001</v>
      </c>
      <c r="S70" s="277">
        <f t="shared" si="21"/>
        <v>0.37161918117500009</v>
      </c>
      <c r="T70" s="61">
        <f>$J$3</f>
        <v>1700</v>
      </c>
      <c r="U70" s="41">
        <f t="shared" si="22"/>
        <v>12.401794281169998</v>
      </c>
      <c r="V70" s="41">
        <f t="shared" si="23"/>
        <v>0.45430222155589961</v>
      </c>
      <c r="W70" s="262">
        <f t="shared" si="24"/>
        <v>34.176469107704904</v>
      </c>
      <c r="X70" s="263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">
      <c r="A71" s="182"/>
      <c r="B71" s="167"/>
      <c r="C71" s="168"/>
      <c r="D71" s="167"/>
      <c r="E71" s="7"/>
      <c r="F71" s="166"/>
      <c r="G71" s="52"/>
      <c r="H71" s="177"/>
      <c r="I71" s="167"/>
      <c r="J71" s="52"/>
      <c r="K71" s="145"/>
      <c r="L71" s="167"/>
      <c r="M71" s="186"/>
      <c r="N71" s="202"/>
      <c r="O71" s="166"/>
      <c r="P71" s="52"/>
      <c r="Q71" s="272">
        <f>(Q70+Q72)/2</f>
        <v>1800</v>
      </c>
      <c r="R71" s="273">
        <f t="shared" si="20"/>
        <v>6.0704990191999997</v>
      </c>
      <c r="S71" s="274">
        <f t="shared" si="21"/>
        <v>0.3687653623999998</v>
      </c>
      <c r="T71" s="51">
        <f>(T70+T72)/2</f>
        <v>1800</v>
      </c>
      <c r="U71" s="8">
        <f t="shared" si="22"/>
        <v>8.2122328580799859</v>
      </c>
      <c r="V71" s="161">
        <f t="shared" si="23"/>
        <v>0.4660667669216001</v>
      </c>
      <c r="W71" s="52"/>
      <c r="X71" s="115"/>
      <c r="Y71" s="115"/>
      <c r="Z71" s="115"/>
      <c r="AA71" s="110"/>
      <c r="AB71" s="83"/>
      <c r="AC71" s="104"/>
      <c r="AD71" s="107"/>
      <c r="AE71" s="98"/>
    </row>
    <row r="72" spans="1:32" ht="13.5" thickBot="1" x14ac:dyDescent="0.25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278">
        <f>$N$3</f>
        <v>1900</v>
      </c>
      <c r="R72" s="279">
        <f t="shared" si="20"/>
        <v>0.82352819660003718</v>
      </c>
      <c r="S72" s="280">
        <f t="shared" si="21"/>
        <v>0.36611774412499992</v>
      </c>
      <c r="T72" s="56">
        <f>$N$3</f>
        <v>1900</v>
      </c>
      <c r="U72" s="57">
        <f t="shared" si="22"/>
        <v>4.1616484071899862</v>
      </c>
      <c r="V72" s="163">
        <f t="shared" si="23"/>
        <v>0.48201677532129938</v>
      </c>
      <c r="W72" s="59"/>
      <c r="X72" s="116"/>
      <c r="Y72" s="116"/>
      <c r="Z72" s="116"/>
      <c r="AA72" s="111"/>
      <c r="AB72" s="86"/>
      <c r="AC72" s="105"/>
      <c r="AD72" s="108"/>
      <c r="AE72" s="102"/>
    </row>
    <row r="73" spans="1:32" x14ac:dyDescent="0.2">
      <c r="Q73" s="267">
        <v>3000</v>
      </c>
      <c r="R73" s="267">
        <v>1</v>
      </c>
      <c r="S73" s="267">
        <v>0.5</v>
      </c>
    </row>
    <row r="78" spans="1:32" x14ac:dyDescent="0.2">
      <c r="L78" t="s">
        <v>196</v>
      </c>
      <c r="P78" t="s">
        <v>195</v>
      </c>
    </row>
    <row r="79" spans="1:32" x14ac:dyDescent="0.2">
      <c r="L79">
        <v>39.700000000000003</v>
      </c>
      <c r="M79">
        <v>34.44</v>
      </c>
      <c r="N79">
        <v>0.25900000000000001</v>
      </c>
      <c r="P79">
        <v>39.659999999999997</v>
      </c>
      <c r="Q79" s="267">
        <v>33.56</v>
      </c>
      <c r="R79" s="267">
        <v>0.25900000000000001</v>
      </c>
      <c r="V79" s="267">
        <v>0</v>
      </c>
      <c r="W79" s="268">
        <f>(Q60*R60*100)/(135788*S60)</f>
        <v>0</v>
      </c>
    </row>
    <row r="80" spans="1:32" x14ac:dyDescent="0.2">
      <c r="L80">
        <v>393</v>
      </c>
      <c r="M80">
        <v>35.18</v>
      </c>
      <c r="N80">
        <v>0.313</v>
      </c>
      <c r="P80">
        <v>392.94</v>
      </c>
      <c r="Q80" s="267">
        <v>34.31</v>
      </c>
      <c r="R80" s="267">
        <v>0.312</v>
      </c>
      <c r="V80" s="267">
        <v>350</v>
      </c>
      <c r="W80" s="268">
        <f t="shared" ref="W80:W91" si="31">(Q61*R61*100)/(135788*S61)</f>
        <v>30.173731877975559</v>
      </c>
    </row>
    <row r="81" spans="1:23" x14ac:dyDescent="0.2">
      <c r="L81">
        <v>768</v>
      </c>
      <c r="M81">
        <v>34.75</v>
      </c>
      <c r="N81">
        <v>0.38500000000000001</v>
      </c>
      <c r="P81">
        <v>767.93</v>
      </c>
      <c r="Q81" s="267">
        <v>33.9</v>
      </c>
      <c r="R81" s="267">
        <v>0.38400000000000001</v>
      </c>
      <c r="V81" s="267">
        <v>700</v>
      </c>
      <c r="W81" s="268">
        <f t="shared" si="31"/>
        <v>49.415915759028806</v>
      </c>
    </row>
    <row r="82" spans="1:23" x14ac:dyDescent="0.2">
      <c r="L82">
        <v>917.2</v>
      </c>
      <c r="M82">
        <v>34.299999999999997</v>
      </c>
      <c r="N82">
        <v>0.41799999999999998</v>
      </c>
      <c r="P82">
        <v>917.17</v>
      </c>
      <c r="Q82" s="267">
        <v>33.450000000000003</v>
      </c>
      <c r="R82" s="267">
        <v>0.41799999999999998</v>
      </c>
      <c r="V82" s="267">
        <v>825</v>
      </c>
      <c r="W82" s="268">
        <f t="shared" si="31"/>
        <v>54.611546015549116</v>
      </c>
    </row>
    <row r="83" spans="1:23" x14ac:dyDescent="0.2">
      <c r="L83">
        <v>1072.1999999999998</v>
      </c>
      <c r="M83">
        <v>32.949999999999996</v>
      </c>
      <c r="N83">
        <v>0.441</v>
      </c>
      <c r="P83">
        <v>1072.0999999999999</v>
      </c>
      <c r="Q83" s="267">
        <v>32.1</v>
      </c>
      <c r="R83" s="267">
        <v>0.441</v>
      </c>
      <c r="V83" s="267">
        <v>950</v>
      </c>
      <c r="W83" s="268">
        <f t="shared" si="31"/>
        <v>58.949869991368253</v>
      </c>
    </row>
    <row r="84" spans="1:23" x14ac:dyDescent="0.2">
      <c r="L84">
        <v>1234.0999999999999</v>
      </c>
      <c r="M84">
        <v>29.12</v>
      </c>
      <c r="N84">
        <v>0.44500000000000001</v>
      </c>
      <c r="P84">
        <v>1233.99</v>
      </c>
      <c r="Q84" s="267">
        <v>28.29</v>
      </c>
      <c r="R84" s="267">
        <v>0.44500000000000001</v>
      </c>
      <c r="V84" s="267">
        <v>1075</v>
      </c>
      <c r="W84" s="268">
        <f t="shared" si="31"/>
        <v>62.130506787055317</v>
      </c>
    </row>
    <row r="85" spans="1:23" x14ac:dyDescent="0.2">
      <c r="L85">
        <v>1364.8999999999999</v>
      </c>
      <c r="M85">
        <v>25.66</v>
      </c>
      <c r="N85">
        <v>0.436</v>
      </c>
      <c r="P85">
        <v>1364.87</v>
      </c>
      <c r="Q85" s="267">
        <v>24.83</v>
      </c>
      <c r="R85" s="267">
        <v>0.436</v>
      </c>
      <c r="V85" s="267">
        <v>1200</v>
      </c>
      <c r="W85" s="268">
        <f t="shared" si="31"/>
        <v>63.635981334984677</v>
      </c>
    </row>
    <row r="86" spans="1:23" x14ac:dyDescent="0.2">
      <c r="L86">
        <v>1500.5</v>
      </c>
      <c r="M86">
        <v>20.98</v>
      </c>
      <c r="N86">
        <v>0.42399999999999999</v>
      </c>
      <c r="P86">
        <v>1500.46</v>
      </c>
      <c r="Q86" s="267">
        <v>20.149999999999999</v>
      </c>
      <c r="R86" s="267">
        <v>0.42399999999999999</v>
      </c>
      <c r="V86" s="267">
        <v>1325</v>
      </c>
      <c r="W86" s="268">
        <f t="shared" si="31"/>
        <v>62.749767255660821</v>
      </c>
    </row>
    <row r="87" spans="1:23" x14ac:dyDescent="0.2">
      <c r="L87">
        <v>1649.3999999999999</v>
      </c>
      <c r="M87">
        <v>15.11</v>
      </c>
      <c r="N87">
        <v>0.45200000000000001</v>
      </c>
      <c r="P87">
        <v>1649.37</v>
      </c>
      <c r="Q87" s="267">
        <v>14.28</v>
      </c>
      <c r="R87" s="267">
        <v>0.45200000000000001</v>
      </c>
      <c r="V87" s="267">
        <v>1450</v>
      </c>
      <c r="W87" s="268">
        <f t="shared" si="31"/>
        <v>58.596739288643064</v>
      </c>
    </row>
    <row r="88" spans="1:23" x14ac:dyDescent="0.2">
      <c r="L88">
        <v>1768.8</v>
      </c>
      <c r="M88">
        <v>10.68</v>
      </c>
      <c r="N88">
        <v>0.47099999999999997</v>
      </c>
      <c r="P88">
        <v>1768.73</v>
      </c>
      <c r="Q88" s="267">
        <v>9.86</v>
      </c>
      <c r="R88" s="267">
        <v>0.47099999999999997</v>
      </c>
      <c r="V88" s="267">
        <v>1575</v>
      </c>
      <c r="W88" s="268">
        <f t="shared" si="31"/>
        <v>50.22275111850599</v>
      </c>
    </row>
    <row r="89" spans="1:23" x14ac:dyDescent="0.2">
      <c r="L89">
        <v>2010.5</v>
      </c>
      <c r="M89">
        <v>0.25</v>
      </c>
      <c r="N89">
        <v>0.502</v>
      </c>
      <c r="P89">
        <v>2010.44</v>
      </c>
      <c r="Q89" s="267">
        <v>0.14000000000000001</v>
      </c>
      <c r="R89" s="267">
        <v>0.502</v>
      </c>
      <c r="V89" s="267">
        <v>1700</v>
      </c>
      <c r="W89" s="268">
        <f t="shared" si="31"/>
        <v>36.732716722731062</v>
      </c>
    </row>
    <row r="90" spans="1:23" x14ac:dyDescent="0.2">
      <c r="A90" t="s">
        <v>198</v>
      </c>
      <c r="B90" t="s">
        <v>98</v>
      </c>
      <c r="C90" t="s">
        <v>199</v>
      </c>
      <c r="D90" t="s">
        <v>99</v>
      </c>
      <c r="E90" t="s">
        <v>200</v>
      </c>
      <c r="F90" t="s">
        <v>201</v>
      </c>
      <c r="G90" t="s">
        <v>202</v>
      </c>
      <c r="H90" t="s">
        <v>203</v>
      </c>
      <c r="I90" t="s">
        <v>204</v>
      </c>
      <c r="J90" t="s">
        <v>205</v>
      </c>
      <c r="K90" t="s">
        <v>206</v>
      </c>
      <c r="L90" t="s">
        <v>207</v>
      </c>
      <c r="M90" t="s">
        <v>208</v>
      </c>
      <c r="N90" t="s">
        <v>209</v>
      </c>
      <c r="O90" t="s">
        <v>210</v>
      </c>
      <c r="P90" t="s">
        <v>211</v>
      </c>
      <c r="V90" s="267">
        <v>1800</v>
      </c>
      <c r="W90" s="268">
        <f t="shared" si="31"/>
        <v>21.821539420212485</v>
      </c>
    </row>
    <row r="91" spans="1:23" x14ac:dyDescent="0.2">
      <c r="A91" t="s">
        <v>217</v>
      </c>
      <c r="B91">
        <v>800</v>
      </c>
      <c r="C91">
        <v>1450</v>
      </c>
      <c r="D91">
        <v>2050</v>
      </c>
      <c r="E91">
        <v>20.786300000000001</v>
      </c>
      <c r="F91">
        <v>-4.9246799999999999E-3</v>
      </c>
      <c r="G91">
        <v>9.4550500000000002E-7</v>
      </c>
      <c r="H91">
        <v>-1.3020700000000001E-10</v>
      </c>
      <c r="I91">
        <v>-3.2178499999999998E-13</v>
      </c>
      <c r="J91" s="295">
        <v>5.3532100000000002E-17</v>
      </c>
      <c r="K91">
        <v>0.14604400000000001</v>
      </c>
      <c r="L91">
        <v>2.20628E-4</v>
      </c>
      <c r="M91">
        <v>-2.2443500000000001E-7</v>
      </c>
      <c r="N91">
        <v>2.1105000000000001E-10</v>
      </c>
      <c r="O91" s="295">
        <v>-8.9742100000000005E-14</v>
      </c>
      <c r="P91" s="295">
        <v>1.31194E-17</v>
      </c>
      <c r="V91" s="267">
        <v>1900</v>
      </c>
      <c r="W91" s="268">
        <f t="shared" si="31"/>
        <v>3.1473852483495794</v>
      </c>
    </row>
    <row r="96" spans="1:23" x14ac:dyDescent="0.2">
      <c r="F96" s="296" t="s">
        <v>216</v>
      </c>
      <c r="G96" s="296"/>
      <c r="H96" s="296"/>
      <c r="I96" s="296"/>
      <c r="K96" s="296" t="s">
        <v>216</v>
      </c>
      <c r="L96" s="296"/>
      <c r="M96" s="296"/>
      <c r="N96" s="296"/>
    </row>
    <row r="97" spans="4:14" x14ac:dyDescent="0.2">
      <c r="D97" t="s">
        <v>218</v>
      </c>
      <c r="F97" t="s">
        <v>212</v>
      </c>
      <c r="G97" t="s">
        <v>213</v>
      </c>
      <c r="H97" t="s">
        <v>214</v>
      </c>
      <c r="I97" t="s">
        <v>215</v>
      </c>
      <c r="K97" t="s">
        <v>212</v>
      </c>
      <c r="L97" t="s">
        <v>213</v>
      </c>
      <c r="M97" t="s">
        <v>214</v>
      </c>
      <c r="N97" t="s">
        <v>215</v>
      </c>
    </row>
    <row r="98" spans="4:14" x14ac:dyDescent="0.2">
      <c r="D98">
        <v>0</v>
      </c>
      <c r="F98" s="267">
        <v>0</v>
      </c>
      <c r="G98" s="267">
        <f>$E$91 + $F$91*F98^1 + $G$91*F98^2 + $H$91*F98^3 + $I$91*F98^4 + $J$91*F98^5</f>
        <v>20.786300000000001</v>
      </c>
      <c r="H98" s="267">
        <f>$K$91 + $L$91*F98^1 + $M$91*F98^2 + $N$91*F98^3 + $O$91*F98^4 + $P$91*F98^5</f>
        <v>0.14604400000000001</v>
      </c>
      <c r="I98" s="267">
        <f>F98*G98*100/H98/135788</f>
        <v>0</v>
      </c>
      <c r="K98">
        <f>F98</f>
        <v>0</v>
      </c>
      <c r="L98">
        <f ca="1">G98*(1+(RAND()-0.5)/5)</f>
        <v>21.203964385570387</v>
      </c>
      <c r="M98">
        <f ca="1">H98*(1+(RAND()-0.5)/5)</f>
        <v>0.15588106358742052</v>
      </c>
      <c r="N98">
        <f ca="1">K98*L98*100/M98/135788</f>
        <v>0</v>
      </c>
    </row>
    <row r="99" spans="4:14" x14ac:dyDescent="0.2">
      <c r="D99">
        <v>1</v>
      </c>
      <c r="F99" s="267">
        <v>350</v>
      </c>
      <c r="G99" s="267">
        <f t="shared" ref="G99:G106" si="32">$E$91 + $F$91*F99^1 + $G$91*F99^2 + $H$91*F99^3 + $I$91*F99^4 + $J$91*F99^5</f>
        <v>19.168356111845217</v>
      </c>
      <c r="H99" s="267">
        <f t="shared" ref="H99:H106" si="33">$K$91 + $L$91*F99^1 + $M$91*F99^2 + $N$91*F99^3 + $O$91*F99^4 + $P$91*F99^5</f>
        <v>0.20354149441056252</v>
      </c>
      <c r="I99" s="267">
        <f t="shared" ref="I99:I106" si="34">F99*G99*100/H99/135788</f>
        <v>24.273844360276545</v>
      </c>
      <c r="K99">
        <f t="shared" ref="K99:K106" si="35">F99</f>
        <v>350</v>
      </c>
      <c r="L99">
        <f t="shared" ref="L99:L106" ca="1" si="36">G99*(1+(RAND()-0.5)/5)</f>
        <v>19.046534485072126</v>
      </c>
      <c r="M99">
        <f t="shared" ref="M99:M106" ca="1" si="37">H99*(1+(RAND()-0.5)/5)</f>
        <v>0.18981065595606428</v>
      </c>
      <c r="N99">
        <f t="shared" ref="N99:N106" ca="1" si="38">K99*L99*100/M99/135788</f>
        <v>25.864377478106309</v>
      </c>
    </row>
    <row r="100" spans="4:14" x14ac:dyDescent="0.2">
      <c r="D100">
        <v>2</v>
      </c>
      <c r="F100" s="267">
        <v>700</v>
      </c>
      <c r="G100" s="267">
        <f t="shared" si="32"/>
        <v>17.689397010547001</v>
      </c>
      <c r="H100" s="267">
        <f t="shared" si="33"/>
        <v>0.24355849934799997</v>
      </c>
      <c r="I100" s="267">
        <f t="shared" si="34"/>
        <v>37.440909323038177</v>
      </c>
      <c r="K100">
        <f t="shared" si="35"/>
        <v>700</v>
      </c>
      <c r="L100">
        <f t="shared" ca="1" si="36"/>
        <v>18.513647675880996</v>
      </c>
      <c r="M100">
        <f t="shared" ca="1" si="37"/>
        <v>0.23250666976288384</v>
      </c>
      <c r="N100">
        <f t="shared" ca="1" si="38"/>
        <v>41.048115836170872</v>
      </c>
    </row>
    <row r="101" spans="4:14" x14ac:dyDescent="0.2">
      <c r="D101">
        <v>3</v>
      </c>
      <c r="F101" s="267">
        <v>1050</v>
      </c>
      <c r="G101" s="267">
        <f t="shared" si="32"/>
        <v>16.184264737700659</v>
      </c>
      <c r="H101" s="267">
        <f t="shared" si="33"/>
        <v>0.28224253364293755</v>
      </c>
      <c r="I101" s="267">
        <f t="shared" si="34"/>
        <v>44.340278766800971</v>
      </c>
      <c r="K101">
        <f t="shared" si="35"/>
        <v>1050</v>
      </c>
      <c r="L101">
        <f t="shared" ca="1" si="36"/>
        <v>15.680474804611192</v>
      </c>
      <c r="M101">
        <f t="shared" ca="1" si="37"/>
        <v>0.25644808574817435</v>
      </c>
      <c r="N101">
        <f t="shared" ca="1" si="38"/>
        <v>47.2811090151692</v>
      </c>
    </row>
    <row r="102" spans="4:14" x14ac:dyDescent="0.2">
      <c r="D102">
        <v>4</v>
      </c>
      <c r="F102" s="267">
        <v>1400</v>
      </c>
      <c r="G102" s="267">
        <f t="shared" si="32"/>
        <v>14.439389017503999</v>
      </c>
      <c r="H102" s="267">
        <f t="shared" si="33"/>
        <v>0.31995783049600002</v>
      </c>
      <c r="I102" s="267">
        <f t="shared" si="34"/>
        <v>46.528892743881791</v>
      </c>
      <c r="K102">
        <f t="shared" si="35"/>
        <v>1400</v>
      </c>
      <c r="L102">
        <f t="shared" ca="1" si="36"/>
        <v>15.520115504500389</v>
      </c>
      <c r="M102">
        <f t="shared" ca="1" si="37"/>
        <v>0.32430385084375946</v>
      </c>
      <c r="N102">
        <f t="shared" ca="1" si="38"/>
        <v>49.341174995392109</v>
      </c>
    </row>
    <row r="103" spans="4:14" x14ac:dyDescent="0.2">
      <c r="D103">
        <v>5</v>
      </c>
      <c r="F103" s="267">
        <v>1750</v>
      </c>
      <c r="G103" s="267">
        <f t="shared" si="32"/>
        <v>12.226526531933594</v>
      </c>
      <c r="H103" s="267">
        <f t="shared" si="33"/>
        <v>0.34955400332031256</v>
      </c>
      <c r="I103" s="267">
        <f t="shared" si="34"/>
        <v>45.078086364623992</v>
      </c>
      <c r="K103">
        <f t="shared" si="35"/>
        <v>1750</v>
      </c>
      <c r="L103">
        <f t="shared" ca="1" si="36"/>
        <v>12.857585815382601</v>
      </c>
      <c r="M103">
        <f t="shared" ca="1" si="37"/>
        <v>0.36321598675517536</v>
      </c>
      <c r="N103">
        <f t="shared" ca="1" si="38"/>
        <v>45.621665201741536</v>
      </c>
    </row>
    <row r="104" spans="4:14" x14ac:dyDescent="0.2">
      <c r="D104">
        <v>6</v>
      </c>
      <c r="F104" s="267">
        <v>2100</v>
      </c>
      <c r="G104" s="267">
        <f t="shared" si="32"/>
        <v>9.3365001959210012</v>
      </c>
      <c r="H104" s="267">
        <f t="shared" si="33"/>
        <v>0.36463471158400007</v>
      </c>
      <c r="I104" s="267">
        <f t="shared" si="34"/>
        <v>39.598980465451135</v>
      </c>
      <c r="K104">
        <f t="shared" si="35"/>
        <v>2100</v>
      </c>
      <c r="L104">
        <f t="shared" ca="1" si="36"/>
        <v>9.7058693591723664</v>
      </c>
      <c r="M104">
        <f t="shared" ca="1" si="37"/>
        <v>0.32885405610442009</v>
      </c>
      <c r="N104">
        <f t="shared" ca="1" si="38"/>
        <v>45.644572258933536</v>
      </c>
    </row>
    <row r="105" spans="4:14" x14ac:dyDescent="0.2">
      <c r="D105">
        <v>7</v>
      </c>
      <c r="F105" s="267">
        <v>2450</v>
      </c>
      <c r="G105" s="267">
        <f t="shared" si="32"/>
        <v>5.6129384325290319</v>
      </c>
      <c r="H105" s="267">
        <f t="shared" si="33"/>
        <v>0.36782632665268711</v>
      </c>
      <c r="I105" s="267">
        <f t="shared" si="34"/>
        <v>27.532912917287742</v>
      </c>
      <c r="K105">
        <f t="shared" si="35"/>
        <v>2450</v>
      </c>
      <c r="L105">
        <f t="shared" ca="1" si="36"/>
        <v>6.1034843777668506</v>
      </c>
      <c r="M105">
        <f t="shared" ca="1" si="37"/>
        <v>0.38406760536404272</v>
      </c>
      <c r="N105">
        <f t="shared" ca="1" si="38"/>
        <v>28.673113401284766</v>
      </c>
    </row>
    <row r="106" spans="4:14" x14ac:dyDescent="0.2">
      <c r="D106">
        <v>8</v>
      </c>
      <c r="F106" s="267">
        <v>2800</v>
      </c>
      <c r="G106" s="267">
        <f t="shared" si="32"/>
        <v>0.98601444812800132</v>
      </c>
      <c r="H106" s="267">
        <f t="shared" si="33"/>
        <v>0.37904659763199966</v>
      </c>
      <c r="I106" s="267">
        <f t="shared" si="34"/>
        <v>5.3639820473649165</v>
      </c>
      <c r="K106">
        <f t="shared" si="35"/>
        <v>2800</v>
      </c>
      <c r="L106">
        <f t="shared" ca="1" si="36"/>
        <v>0.90518219064561578</v>
      </c>
      <c r="M106">
        <f t="shared" ca="1" si="37"/>
        <v>0.4017377585941051</v>
      </c>
      <c r="N106">
        <f t="shared" ca="1" si="38"/>
        <v>4.6461153521677288</v>
      </c>
    </row>
  </sheetData>
  <mergeCells count="25">
    <mergeCell ref="AA2:AF2"/>
    <mergeCell ref="AA5:AD5"/>
    <mergeCell ref="D5:I5"/>
    <mergeCell ref="X49:Y49"/>
    <mergeCell ref="AC58:AE58"/>
    <mergeCell ref="X57:AB57"/>
    <mergeCell ref="A51:L51"/>
    <mergeCell ref="Q56:S56"/>
    <mergeCell ref="T56:W56"/>
    <mergeCell ref="Q57:S57"/>
    <mergeCell ref="T57:W57"/>
    <mergeCell ref="A57:G57"/>
    <mergeCell ref="D56:F56"/>
    <mergeCell ref="A56:B56"/>
    <mergeCell ref="H56:P56"/>
    <mergeCell ref="H57:P57"/>
    <mergeCell ref="F96:I96"/>
    <mergeCell ref="K96:N96"/>
    <mergeCell ref="O1:T1"/>
    <mergeCell ref="U1:Z1"/>
    <mergeCell ref="D6:E6"/>
    <mergeCell ref="F6:G6"/>
    <mergeCell ref="A1:N1"/>
    <mergeCell ref="A4:N4"/>
    <mergeCell ref="A5:C5"/>
  </mergeCells>
  <phoneticPr fontId="3" type="noConversion"/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T1" zoomScale="90" zoomScaleNormal="90" workbookViewId="0">
      <selection activeCell="AA3" sqref="AA3:AF4"/>
    </sheetView>
  </sheetViews>
  <sheetFormatPr defaultRowHeight="12.75" x14ac:dyDescent="0.2"/>
  <cols>
    <col min="1" max="1" width="12.7109375" customWidth="1"/>
    <col min="2" max="2" width="14.140625" customWidth="1"/>
    <col min="3" max="3" width="15.28515625" customWidth="1"/>
    <col min="4" max="4" width="14.140625" customWidth="1"/>
    <col min="5" max="5" width="13" customWidth="1"/>
    <col min="6" max="6" width="13.28515625" customWidth="1"/>
    <col min="7" max="7" width="13.85546875" customWidth="1"/>
    <col min="8" max="8" width="13.5703125" customWidth="1"/>
    <col min="9" max="9" width="14.140625" customWidth="1"/>
    <col min="10" max="10" width="14.42578125" customWidth="1"/>
    <col min="11" max="11" width="13.85546875" customWidth="1"/>
    <col min="12" max="12" width="14.7109375" customWidth="1"/>
    <col min="13" max="13" width="14" customWidth="1"/>
    <col min="14" max="14" width="16.28515625" customWidth="1"/>
    <col min="15" max="15" width="14" customWidth="1"/>
    <col min="16" max="16" width="14.140625" customWidth="1"/>
    <col min="17" max="17" width="14.85546875" style="3" customWidth="1"/>
    <col min="18" max="18" width="13.85546875" style="3" customWidth="1"/>
    <col min="19" max="19" width="14.42578125" style="3" customWidth="1"/>
    <col min="20" max="20" width="13.5703125" style="3" customWidth="1"/>
    <col min="21" max="22" width="13.85546875" customWidth="1"/>
    <col min="23" max="23" width="14.7109375" customWidth="1"/>
    <col min="24" max="24" width="13.5703125" customWidth="1"/>
    <col min="25" max="25" width="14.7109375" customWidth="1"/>
    <col min="26" max="26" width="13.5703125" customWidth="1"/>
    <col min="31" max="31" width="13.28515625" customWidth="1"/>
  </cols>
  <sheetData>
    <row r="1" spans="1:32" ht="41.25" customHeight="1" x14ac:dyDescent="0.2">
      <c r="A1" s="302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4"/>
      <c r="O1" s="297" t="s">
        <v>38</v>
      </c>
      <c r="P1" s="298"/>
      <c r="Q1" s="298"/>
      <c r="R1" s="298"/>
      <c r="S1" s="298"/>
      <c r="T1" s="298"/>
      <c r="U1" s="297" t="s">
        <v>39</v>
      </c>
      <c r="V1" s="298"/>
      <c r="W1" s="298"/>
      <c r="X1" s="298"/>
      <c r="Y1" s="298"/>
      <c r="Z1" s="299"/>
    </row>
    <row r="2" spans="1:32" s="4" customFormat="1" ht="55.5" thickBot="1" x14ac:dyDescent="0.5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310" t="s">
        <v>133</v>
      </c>
      <c r="AB2" s="311"/>
      <c r="AC2" s="311"/>
      <c r="AD2" s="311"/>
      <c r="AE2" s="311"/>
      <c r="AF2" s="311"/>
    </row>
    <row r="3" spans="1:32" s="4" customFormat="1" ht="13.5" thickBot="1" x14ac:dyDescent="0.25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5" thickBot="1" x14ac:dyDescent="0.25">
      <c r="A4" s="305" t="s">
        <v>181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5" thickBot="1" x14ac:dyDescent="0.25">
      <c r="A5" s="307" t="s">
        <v>76</v>
      </c>
      <c r="B5" s="308"/>
      <c r="C5" s="309"/>
      <c r="D5" s="307" t="s">
        <v>84</v>
      </c>
      <c r="E5" s="308"/>
      <c r="F5" s="315"/>
      <c r="G5" s="315"/>
      <c r="H5" s="315"/>
      <c r="I5" s="316"/>
      <c r="J5" s="69"/>
      <c r="K5" s="69"/>
      <c r="L5" s="69"/>
      <c r="M5" s="69"/>
      <c r="N5" s="69"/>
      <c r="AA5" s="312" t="s">
        <v>180</v>
      </c>
      <c r="AB5" s="313"/>
      <c r="AC5" s="313"/>
      <c r="AD5" s="314"/>
    </row>
    <row r="6" spans="1:32" ht="38.25" customHeight="1" thickBot="1" x14ac:dyDescent="0.25">
      <c r="A6" s="63"/>
      <c r="B6" s="64"/>
      <c r="C6" s="65"/>
      <c r="D6" s="300" t="s">
        <v>85</v>
      </c>
      <c r="E6" s="301"/>
      <c r="F6" s="300" t="s">
        <v>86</v>
      </c>
      <c r="G6" s="301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5" thickBot="1" x14ac:dyDescent="0.25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5" thickBot="1" x14ac:dyDescent="0.25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x14ac:dyDescent="0.2">
      <c r="X49" s="317"/>
      <c r="Y49" s="317"/>
    </row>
    <row r="50" spans="1:32" ht="13.5" thickBot="1" x14ac:dyDescent="0.25">
      <c r="X50" s="124"/>
      <c r="Y50" s="125"/>
    </row>
    <row r="51" spans="1:32" ht="13.5" thickBot="1" x14ac:dyDescent="0.25">
      <c r="A51" s="341" t="s">
        <v>164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3"/>
      <c r="M51" s="69"/>
      <c r="X51" s="124"/>
      <c r="Y51" s="125"/>
    </row>
    <row r="52" spans="1:32" x14ac:dyDescent="0.2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5" thickBot="1" x14ac:dyDescent="0.25">
      <c r="A53" s="77">
        <v>33.794460000000001</v>
      </c>
      <c r="B53" s="78">
        <v>3.0133159999999998E-3</v>
      </c>
      <c r="C53" s="78">
        <v>-9.680564E-6</v>
      </c>
      <c r="D53" s="78">
        <v>2.406563E-8</v>
      </c>
      <c r="E53" s="78">
        <v>-2.4919489999999999E-11</v>
      </c>
      <c r="F53" s="79">
        <v>6.4322969999999998E-15</v>
      </c>
      <c r="G53" s="205">
        <v>0.28023160000000003</v>
      </c>
      <c r="H53" s="206">
        <v>-2.804037E-4</v>
      </c>
      <c r="I53" s="206">
        <v>1.6391220000000001E-6</v>
      </c>
      <c r="J53" s="206">
        <v>-1.9720519999999998E-9</v>
      </c>
      <c r="K53" s="206">
        <v>9.4703859999999997E-13</v>
      </c>
      <c r="L53" s="207">
        <v>-1.6353140000000001E-16</v>
      </c>
      <c r="M53" s="83"/>
      <c r="X53" s="124"/>
      <c r="Y53" s="125"/>
    </row>
    <row r="54" spans="1:32" x14ac:dyDescent="0.2">
      <c r="X54" s="126"/>
      <c r="Y54" s="125"/>
    </row>
    <row r="55" spans="1:32" ht="13.5" thickBot="1" x14ac:dyDescent="0.25"/>
    <row r="56" spans="1:32" ht="13.5" thickBot="1" x14ac:dyDescent="0.25">
      <c r="A56" s="337" t="s">
        <v>150</v>
      </c>
      <c r="B56" s="338"/>
      <c r="C56" s="172">
        <v>1</v>
      </c>
      <c r="D56" s="335" t="s">
        <v>149</v>
      </c>
      <c r="E56" s="336"/>
      <c r="F56" s="336"/>
      <c r="G56" s="172">
        <v>66</v>
      </c>
      <c r="H56" s="321" t="s">
        <v>88</v>
      </c>
      <c r="I56" s="322"/>
      <c r="J56" s="322"/>
      <c r="K56" s="339"/>
      <c r="L56" s="339"/>
      <c r="M56" s="339"/>
      <c r="N56" s="339"/>
      <c r="O56" s="339"/>
      <c r="P56" s="340"/>
      <c r="Q56" s="344" t="s">
        <v>76</v>
      </c>
      <c r="R56" s="345"/>
      <c r="S56" s="346"/>
      <c r="T56" s="321" t="s">
        <v>90</v>
      </c>
      <c r="U56" s="322"/>
      <c r="V56" s="322"/>
      <c r="W56" s="330"/>
      <c r="AA56" s="3"/>
      <c r="AB56" s="3"/>
      <c r="AC56" s="3"/>
      <c r="AD56" s="3"/>
    </row>
    <row r="57" spans="1:32" ht="13.5" thickBot="1" x14ac:dyDescent="0.25">
      <c r="A57" s="324" t="s">
        <v>148</v>
      </c>
      <c r="B57" s="325"/>
      <c r="C57" s="325"/>
      <c r="D57" s="325"/>
      <c r="E57" s="325"/>
      <c r="F57" s="325"/>
      <c r="G57" s="326"/>
      <c r="H57" s="321" t="s">
        <v>87</v>
      </c>
      <c r="I57" s="334"/>
      <c r="J57" s="334"/>
      <c r="K57" s="339"/>
      <c r="L57" s="339"/>
      <c r="M57" s="339"/>
      <c r="N57" s="339"/>
      <c r="O57" s="339"/>
      <c r="P57" s="340"/>
      <c r="Q57" s="321" t="s">
        <v>87</v>
      </c>
      <c r="R57" s="334"/>
      <c r="S57" s="330"/>
      <c r="T57" s="321" t="s">
        <v>87</v>
      </c>
      <c r="U57" s="334"/>
      <c r="V57" s="334"/>
      <c r="W57" s="330"/>
      <c r="X57" s="321" t="s">
        <v>77</v>
      </c>
      <c r="Y57" s="322"/>
      <c r="Z57" s="322"/>
      <c r="AA57" s="322"/>
      <c r="AB57" s="323"/>
      <c r="AC57" s="3"/>
      <c r="AD57" s="3"/>
    </row>
    <row r="58" spans="1:32" x14ac:dyDescent="0.2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318" t="s">
        <v>94</v>
      </c>
      <c r="AD58" s="319"/>
      <c r="AE58" s="320"/>
    </row>
    <row r="59" spans="1:32" ht="13.5" thickBot="1" x14ac:dyDescent="0.25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">
      <c r="A60" s="181">
        <v>5.0090000000000003</v>
      </c>
      <c r="B60" s="174">
        <v>4.78</v>
      </c>
      <c r="C60" s="175">
        <v>2995.5</v>
      </c>
      <c r="D60" s="174">
        <v>26.82</v>
      </c>
      <c r="E60" s="187">
        <f>ROUND(C60*D60/9549,3)</f>
        <v>8.4130000000000003</v>
      </c>
      <c r="F60" s="173">
        <v>8.4109999999999996</v>
      </c>
      <c r="G60" s="184" t="str">
        <f>IF(OR(E60-F60&gt;0.001*F60,E60-F60&lt;(-0.001)*F60),"ALARM","OK")</f>
        <v>OK</v>
      </c>
      <c r="H60" s="188">
        <f>ROUNDUP((B60*6.28981)*(3500/C60),1)</f>
        <v>35.200000000000003</v>
      </c>
      <c r="I60" s="191">
        <v>35.14</v>
      </c>
      <c r="J60" s="204" t="str">
        <f>IF(OR(H60-I60&gt;0.005*I60,H60-I60&lt;(-0.005)*I60),"ALARM","OK")</f>
        <v>OK</v>
      </c>
      <c r="K60" s="195">
        <f t="shared" ref="K60:K71" si="12">ROUNDUP((A60*(1000/9.81)*$C$56*3.28/$G$56)*(3500/C60)^2,2)</f>
        <v>34.65</v>
      </c>
      <c r="L60" s="174">
        <v>33.85</v>
      </c>
      <c r="M60" s="196" t="str">
        <f t="shared" ref="M60:M71" si="13">IF(OR(K60-L60&gt;0.005*L60,K60-L60&lt;(-0.005)*L60),"ALARM","OK")</f>
        <v>ALARM</v>
      </c>
      <c r="N60" s="198">
        <f>ROUNDUP((F60/(0.746*$G$56))*(3500/C60)^3,3)</f>
        <v>0.27300000000000002</v>
      </c>
      <c r="O60" s="173">
        <v>0.27300000000000002</v>
      </c>
      <c r="P60" s="184" t="str">
        <f t="shared" ref="P60:P71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33.794460000000001</v>
      </c>
      <c r="V60" s="48">
        <f>G53</f>
        <v>0.28023160000000003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">
      <c r="A61" s="182">
        <v>5.117</v>
      </c>
      <c r="B61" s="167">
        <v>53.02</v>
      </c>
      <c r="C61" s="168">
        <v>2994.1</v>
      </c>
      <c r="D61" s="167">
        <v>31.21</v>
      </c>
      <c r="E61" s="144">
        <f t="shared" ref="E61:E71" si="15">ROUND(C61*D61/9549,3)</f>
        <v>9.7859999999999996</v>
      </c>
      <c r="F61" s="166">
        <v>9.7829999999999995</v>
      </c>
      <c r="G61" s="185" t="str">
        <f t="shared" ref="G61:G71" si="16">IF(OR(E61-F61&gt;0.001*F61,E61-F61&lt;(-0.001)*F61),"ALARM","OK")</f>
        <v>OK</v>
      </c>
      <c r="H61" s="189">
        <f t="shared" ref="H61:H71" si="17">ROUNDUP((B61*6.28981)*(3500/C61),1)</f>
        <v>389.90000000000003</v>
      </c>
      <c r="I61" s="167">
        <v>389.87</v>
      </c>
      <c r="J61" s="185" t="str">
        <f t="shared" ref="J61:J71" si="18">IF(OR(H61-I61&gt;0.005*I61,H61-I61&lt;(-0.005)*I61),"ALARM","OK")</f>
        <v>OK</v>
      </c>
      <c r="K61" s="146">
        <f t="shared" si="12"/>
        <v>35.43</v>
      </c>
      <c r="L61" s="167">
        <v>34.65</v>
      </c>
      <c r="M61" s="197" t="str">
        <f t="shared" si="13"/>
        <v>ALARM</v>
      </c>
      <c r="N61" s="199">
        <f t="shared" ref="N61:N71" si="19">ROUNDUP((F61/(0.746*$G$56))*(3500/C61)^3,3)</f>
        <v>0.318</v>
      </c>
      <c r="O61" s="166">
        <v>0.318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34.354900929337191</v>
      </c>
      <c r="V61" s="8">
        <f t="shared" ref="V61:V72" si="23">$G$53+$H$53*T61+$I$53*T61^2+$J$53*T61^3+$K$53*T61^4+$L$53*T61^5</f>
        <v>0.31168362091631252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">
      <c r="A62" s="182">
        <v>5.0620000000000003</v>
      </c>
      <c r="B62" s="167">
        <v>92.39</v>
      </c>
      <c r="C62" s="168">
        <v>2995.6</v>
      </c>
      <c r="D62" s="167">
        <v>41.56</v>
      </c>
      <c r="E62" s="144">
        <f t="shared" si="15"/>
        <v>13.038</v>
      </c>
      <c r="F62" s="166">
        <v>13.042999999999999</v>
      </c>
      <c r="G62" s="185" t="str">
        <f t="shared" si="16"/>
        <v>OK</v>
      </c>
      <c r="H62" s="190">
        <f t="shared" si="17"/>
        <v>679</v>
      </c>
      <c r="I62" s="167">
        <v>678.99</v>
      </c>
      <c r="J62" s="185" t="str">
        <f t="shared" si="18"/>
        <v>OK</v>
      </c>
      <c r="K62" s="192">
        <f t="shared" si="12"/>
        <v>35.01</v>
      </c>
      <c r="L62" s="167">
        <v>34.24</v>
      </c>
      <c r="M62" s="197" t="str">
        <f t="shared" si="13"/>
        <v>ALARM</v>
      </c>
      <c r="N62" s="200">
        <f t="shared" si="19"/>
        <v>0.42299999999999999</v>
      </c>
      <c r="O62" s="166">
        <v>0.42299999999999999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34.51272253778999</v>
      </c>
      <c r="V62" s="41">
        <f t="shared" si="23"/>
        <v>0.41060419946200011</v>
      </c>
      <c r="W62" s="94">
        <f t="shared" ref="W62:W70" si="24">(T62*U62*100)/(135788*V62)</f>
        <v>43.330378377279239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">
      <c r="A63" s="182">
        <v>5.0049999999999999</v>
      </c>
      <c r="B63" s="167">
        <v>111.87</v>
      </c>
      <c r="C63" s="168">
        <v>2996.4</v>
      </c>
      <c r="D63" s="167">
        <v>41.96</v>
      </c>
      <c r="E63" s="144">
        <f t="shared" si="15"/>
        <v>13.167</v>
      </c>
      <c r="F63" s="166">
        <v>13.163</v>
      </c>
      <c r="G63" s="185" t="str">
        <f t="shared" si="16"/>
        <v>OK</v>
      </c>
      <c r="H63" s="189">
        <f t="shared" si="17"/>
        <v>822</v>
      </c>
      <c r="I63" s="167">
        <v>821.91</v>
      </c>
      <c r="J63" s="185" t="str">
        <f t="shared" si="18"/>
        <v>OK</v>
      </c>
      <c r="K63" s="146">
        <f t="shared" si="12"/>
        <v>34.6</v>
      </c>
      <c r="L63" s="167">
        <v>33.83</v>
      </c>
      <c r="M63" s="197" t="str">
        <f t="shared" si="13"/>
        <v>ALARM</v>
      </c>
      <c r="N63" s="201">
        <f t="shared" si="19"/>
        <v>0.42699999999999999</v>
      </c>
      <c r="O63" s="166">
        <v>0.42599999999999999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34.119181002032434</v>
      </c>
      <c r="V63" s="8">
        <f t="shared" si="23"/>
        <v>0.43340526125765438</v>
      </c>
      <c r="W63" s="127">
        <f t="shared" si="24"/>
        <v>47.829624966755716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">
      <c r="A64" s="182">
        <v>4.8890000000000002</v>
      </c>
      <c r="B64" s="167">
        <v>132.57</v>
      </c>
      <c r="C64" s="168">
        <v>2996.2</v>
      </c>
      <c r="D64" s="167">
        <v>42.81</v>
      </c>
      <c r="E64" s="144">
        <f t="shared" si="15"/>
        <v>13.433</v>
      </c>
      <c r="F64" s="166">
        <v>13.429</v>
      </c>
      <c r="G64" s="185" t="str">
        <f t="shared" si="16"/>
        <v>OK</v>
      </c>
      <c r="H64" s="189">
        <f t="shared" si="17"/>
        <v>974.1</v>
      </c>
      <c r="I64" s="167">
        <v>974.07</v>
      </c>
      <c r="J64" s="185" t="str">
        <f t="shared" si="18"/>
        <v>OK</v>
      </c>
      <c r="K64" s="146">
        <f t="shared" si="12"/>
        <v>33.799999999999997</v>
      </c>
      <c r="L64" s="167">
        <v>33.03</v>
      </c>
      <c r="M64" s="197" t="str">
        <f t="shared" si="13"/>
        <v>ALARM</v>
      </c>
      <c r="N64" s="201">
        <f t="shared" si="19"/>
        <v>0.435</v>
      </c>
      <c r="O64" s="166">
        <v>0.435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33.233779162375939</v>
      </c>
      <c r="V64" s="8">
        <f t="shared" si="23"/>
        <v>0.44719898518856271</v>
      </c>
      <c r="W64" s="127">
        <f t="shared" si="24"/>
        <v>51.992551885418472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FAIL</v>
      </c>
      <c r="AD64" s="100" t="str">
        <f t="shared" si="30"/>
        <v>FAIL</v>
      </c>
      <c r="AE64" s="101"/>
    </row>
    <row r="65" spans="1:32" x14ac:dyDescent="0.2">
      <c r="A65" s="182">
        <v>4.6959999999999997</v>
      </c>
      <c r="B65" s="167">
        <v>152.07</v>
      </c>
      <c r="C65" s="168">
        <v>2996.2</v>
      </c>
      <c r="D65" s="167">
        <v>44.99</v>
      </c>
      <c r="E65" s="144">
        <f t="shared" si="15"/>
        <v>14.117000000000001</v>
      </c>
      <c r="F65" s="166">
        <v>14.113</v>
      </c>
      <c r="G65" s="185" t="str">
        <f t="shared" si="16"/>
        <v>OK</v>
      </c>
      <c r="H65" s="189">
        <f t="shared" si="17"/>
        <v>1117.3999999999999</v>
      </c>
      <c r="I65" s="167">
        <v>1117.32</v>
      </c>
      <c r="J65" s="185" t="str">
        <f t="shared" si="18"/>
        <v>OK</v>
      </c>
      <c r="K65" s="146">
        <f t="shared" si="12"/>
        <v>32.47</v>
      </c>
      <c r="L65" s="167">
        <v>31.71</v>
      </c>
      <c r="M65" s="197" t="str">
        <f t="shared" si="13"/>
        <v>ALARM</v>
      </c>
      <c r="N65" s="201">
        <f t="shared" si="19"/>
        <v>0.45700000000000002</v>
      </c>
      <c r="O65" s="166">
        <v>0.45700000000000002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31.698514184140343</v>
      </c>
      <c r="V65" s="8">
        <f t="shared" si="23"/>
        <v>0.45310429850326006</v>
      </c>
      <c r="W65" s="127">
        <f t="shared" si="24"/>
        <v>55.384443478933363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FAIL</v>
      </c>
      <c r="AD65" s="100" t="str">
        <f t="shared" si="30"/>
        <v>FAIL</v>
      </c>
      <c r="AE65" s="101"/>
    </row>
    <row r="66" spans="1:32" x14ac:dyDescent="0.2">
      <c r="A66" s="182">
        <v>4.141</v>
      </c>
      <c r="B66" s="167">
        <v>173.25</v>
      </c>
      <c r="C66" s="168">
        <v>2994.8</v>
      </c>
      <c r="D66" s="167">
        <v>45.24</v>
      </c>
      <c r="E66" s="144">
        <f t="shared" si="15"/>
        <v>14.188000000000001</v>
      </c>
      <c r="F66" s="166">
        <v>14.183999999999999</v>
      </c>
      <c r="G66" s="185" t="str">
        <f t="shared" si="16"/>
        <v>OK</v>
      </c>
      <c r="H66" s="190">
        <f t="shared" si="17"/>
        <v>1273.5999999999999</v>
      </c>
      <c r="I66" s="167">
        <v>1273.55</v>
      </c>
      <c r="J66" s="185" t="str">
        <f t="shared" si="18"/>
        <v>OK</v>
      </c>
      <c r="K66" s="192">
        <f t="shared" si="12"/>
        <v>28.66</v>
      </c>
      <c r="L66" s="167">
        <v>27.87</v>
      </c>
      <c r="M66" s="197" t="str">
        <f t="shared" si="13"/>
        <v>ALARM</v>
      </c>
      <c r="N66" s="200">
        <f t="shared" si="19"/>
        <v>0.46</v>
      </c>
      <c r="O66" s="166">
        <v>0.46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29.388394487040003</v>
      </c>
      <c r="V66" s="41">
        <f t="shared" si="23"/>
        <v>0.45323777171200008</v>
      </c>
      <c r="W66" s="94">
        <f t="shared" si="24"/>
        <v>57.301978774655574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">
      <c r="A67" s="182">
        <v>3.4359999999999999</v>
      </c>
      <c r="B67" s="167">
        <v>192.11</v>
      </c>
      <c r="C67" s="168">
        <v>2993.5</v>
      </c>
      <c r="D67" s="167">
        <v>43.82</v>
      </c>
      <c r="E67" s="144">
        <f t="shared" si="15"/>
        <v>13.737</v>
      </c>
      <c r="F67" s="166">
        <v>13.733000000000001</v>
      </c>
      <c r="G67" s="185" t="str">
        <f t="shared" si="16"/>
        <v>OK</v>
      </c>
      <c r="H67" s="189">
        <f t="shared" si="17"/>
        <v>1412.8</v>
      </c>
      <c r="I67" s="167">
        <v>1412.76</v>
      </c>
      <c r="J67" s="185" t="str">
        <f t="shared" si="18"/>
        <v>OK</v>
      </c>
      <c r="K67" s="146">
        <f t="shared" si="12"/>
        <v>23.8</v>
      </c>
      <c r="L67" s="167">
        <v>23.02</v>
      </c>
      <c r="M67" s="197" t="str">
        <f t="shared" si="13"/>
        <v>ALARM</v>
      </c>
      <c r="N67" s="201">
        <f t="shared" si="19"/>
        <v>0.44600000000000001</v>
      </c>
      <c r="O67" s="166">
        <v>0.44600000000000001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26.234995520330287</v>
      </c>
      <c r="V67" s="8">
        <f t="shared" si="23"/>
        <v>0.45011474871370893</v>
      </c>
      <c r="W67" s="127">
        <f t="shared" si="24"/>
        <v>56.873798821070885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">
      <c r="A68" s="182">
        <v>2.6909999999999998</v>
      </c>
      <c r="B68" s="167">
        <v>211.73</v>
      </c>
      <c r="C68" s="168">
        <v>2996.4</v>
      </c>
      <c r="D68" s="167">
        <v>43.55</v>
      </c>
      <c r="E68" s="144">
        <f t="shared" si="15"/>
        <v>13.666</v>
      </c>
      <c r="F68" s="166">
        <v>13.662000000000001</v>
      </c>
      <c r="G68" s="185" t="str">
        <f t="shared" si="16"/>
        <v>OK</v>
      </c>
      <c r="H68" s="189">
        <f t="shared" si="17"/>
        <v>1555.6</v>
      </c>
      <c r="I68" s="167">
        <v>1555.58</v>
      </c>
      <c r="J68" s="185" t="str">
        <f t="shared" si="18"/>
        <v>OK</v>
      </c>
      <c r="K68" s="146">
        <f t="shared" si="12"/>
        <v>18.600000000000001</v>
      </c>
      <c r="L68" s="167">
        <v>17.829999999999998</v>
      </c>
      <c r="M68" s="197" t="str">
        <f t="shared" si="13"/>
        <v>ALARM</v>
      </c>
      <c r="N68" s="201">
        <f t="shared" si="19"/>
        <v>0.443</v>
      </c>
      <c r="O68" s="166">
        <v>0.442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22.250015537954063</v>
      </c>
      <c r="V68" s="8">
        <f t="shared" si="23"/>
        <v>0.44605047692293742</v>
      </c>
      <c r="W68" s="127">
        <f t="shared" si="24"/>
        <v>53.266347873823293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">
      <c r="A69" s="182">
        <v>1.88</v>
      </c>
      <c r="B69" s="167">
        <v>232.6</v>
      </c>
      <c r="C69" s="168">
        <v>2996.2</v>
      </c>
      <c r="D69" s="167">
        <v>43.19</v>
      </c>
      <c r="E69" s="144">
        <f t="shared" si="15"/>
        <v>13.552</v>
      </c>
      <c r="F69" s="166">
        <v>13.548</v>
      </c>
      <c r="G69" s="185" t="str">
        <f t="shared" si="16"/>
        <v>OK</v>
      </c>
      <c r="H69" s="189">
        <f t="shared" si="17"/>
        <v>1709.1</v>
      </c>
      <c r="I69" s="167">
        <v>1709.01</v>
      </c>
      <c r="J69" s="185" t="str">
        <f t="shared" si="18"/>
        <v>OK</v>
      </c>
      <c r="K69" s="146">
        <f t="shared" si="12"/>
        <v>13</v>
      </c>
      <c r="L69" s="167">
        <v>12.26</v>
      </c>
      <c r="M69" s="197" t="str">
        <f t="shared" si="13"/>
        <v>ALARM</v>
      </c>
      <c r="N69" s="201">
        <f t="shared" si="19"/>
        <v>0.439</v>
      </c>
      <c r="O69" s="166">
        <v>0.439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17.548831373688209</v>
      </c>
      <c r="V69" s="8">
        <f t="shared" si="23"/>
        <v>0.4425612373968153</v>
      </c>
      <c r="W69" s="127">
        <f t="shared" si="24"/>
        <v>45.993238939077095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">
      <c r="A70" s="182">
        <v>1.0609999999999999</v>
      </c>
      <c r="B70" s="167">
        <v>251.11</v>
      </c>
      <c r="C70" s="168">
        <v>2996.2</v>
      </c>
      <c r="D70" s="167">
        <v>42.74</v>
      </c>
      <c r="E70" s="144">
        <f t="shared" si="15"/>
        <v>13.411</v>
      </c>
      <c r="F70" s="166">
        <v>13.407</v>
      </c>
      <c r="G70" s="185" t="str">
        <f t="shared" si="16"/>
        <v>OK</v>
      </c>
      <c r="H70" s="190">
        <f t="shared" si="17"/>
        <v>1845.1</v>
      </c>
      <c r="I70" s="167">
        <v>1845.03</v>
      </c>
      <c r="J70" s="185" t="str">
        <f t="shared" si="18"/>
        <v>OK</v>
      </c>
      <c r="K70" s="192">
        <f t="shared" si="12"/>
        <v>7.34</v>
      </c>
      <c r="L70" s="167">
        <v>6.6</v>
      </c>
      <c r="M70" s="197" t="str">
        <f t="shared" si="13"/>
        <v>ALARM</v>
      </c>
      <c r="N70" s="200">
        <f t="shared" si="19"/>
        <v>0.435</v>
      </c>
      <c r="O70" s="166">
        <v>0.434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12.37405421629002</v>
      </c>
      <c r="V70" s="41">
        <f t="shared" si="23"/>
        <v>0.43976547496200036</v>
      </c>
      <c r="W70" s="94">
        <f t="shared" si="24"/>
        <v>35.22722338329006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">
      <c r="A71" s="182">
        <v>2.9000000000000001E-2</v>
      </c>
      <c r="B71" s="167">
        <v>274.19</v>
      </c>
      <c r="C71" s="168">
        <v>2994.8</v>
      </c>
      <c r="D71" s="167">
        <v>41.05</v>
      </c>
      <c r="E71" s="144">
        <f t="shared" si="15"/>
        <v>12.874000000000001</v>
      </c>
      <c r="F71" s="166">
        <v>12.871</v>
      </c>
      <c r="G71" s="185" t="str">
        <f t="shared" si="16"/>
        <v>OK</v>
      </c>
      <c r="H71" s="208">
        <f t="shared" si="17"/>
        <v>2015.6</v>
      </c>
      <c r="I71" s="167">
        <v>2015.55</v>
      </c>
      <c r="J71" s="185" t="str">
        <f t="shared" si="18"/>
        <v>OK</v>
      </c>
      <c r="K71" s="146">
        <f t="shared" si="12"/>
        <v>0.21000000000000002</v>
      </c>
      <c r="L71" s="167">
        <v>0.15</v>
      </c>
      <c r="M71" s="197" t="str">
        <f t="shared" si="13"/>
        <v>ALARM</v>
      </c>
      <c r="N71" s="201">
        <f t="shared" si="19"/>
        <v>0.41799999999999998</v>
      </c>
      <c r="O71" s="166">
        <v>0.41699999999999998</v>
      </c>
      <c r="P71" s="185" t="str">
        <f t="shared" si="14"/>
        <v>OK</v>
      </c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8.1519431529600013</v>
      </c>
      <c r="V71" s="8">
        <f t="shared" si="23"/>
        <v>0.43684835900800234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5" thickBot="1" x14ac:dyDescent="0.25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4.1558365950299958</v>
      </c>
      <c r="V72" s="57">
        <f t="shared" si="23"/>
        <v>0.4310927009740011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  <mergeCell ref="A5:C5"/>
    <mergeCell ref="D5:I5"/>
    <mergeCell ref="AA5:AD5"/>
    <mergeCell ref="A1:N1"/>
    <mergeCell ref="O1:T1"/>
    <mergeCell ref="U1:Z1"/>
    <mergeCell ref="AA2:AF2"/>
    <mergeCell ref="A4:N4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U1" zoomScale="90" zoomScaleNormal="90" workbookViewId="0">
      <selection activeCell="AH6" sqref="AH6"/>
    </sheetView>
  </sheetViews>
  <sheetFormatPr defaultRowHeight="12.75" x14ac:dyDescent="0.2"/>
  <cols>
    <col min="1" max="1" width="12.7109375" customWidth="1"/>
    <col min="2" max="2" width="14.140625" customWidth="1"/>
    <col min="3" max="3" width="15.28515625" customWidth="1"/>
    <col min="4" max="4" width="14.140625" customWidth="1"/>
    <col min="5" max="5" width="13" customWidth="1"/>
    <col min="6" max="6" width="13.28515625" customWidth="1"/>
    <col min="7" max="7" width="13.85546875" customWidth="1"/>
    <col min="8" max="8" width="13.5703125" customWidth="1"/>
    <col min="9" max="9" width="14.140625" customWidth="1"/>
    <col min="10" max="10" width="14.42578125" customWidth="1"/>
    <col min="11" max="11" width="13.85546875" customWidth="1"/>
    <col min="12" max="12" width="14.7109375" customWidth="1"/>
    <col min="13" max="13" width="14" customWidth="1"/>
    <col min="14" max="14" width="16.28515625" customWidth="1"/>
    <col min="15" max="15" width="14" customWidth="1"/>
    <col min="16" max="16" width="14.140625" customWidth="1"/>
    <col min="17" max="17" width="14.85546875" style="3" customWidth="1"/>
    <col min="18" max="18" width="13.85546875" style="3" customWidth="1"/>
    <col min="19" max="19" width="14.42578125" style="3" customWidth="1"/>
    <col min="20" max="20" width="13.5703125" style="3" customWidth="1"/>
    <col min="21" max="22" width="13.85546875" customWidth="1"/>
    <col min="23" max="23" width="14.7109375" customWidth="1"/>
    <col min="24" max="24" width="13.5703125" customWidth="1"/>
    <col min="25" max="25" width="14.7109375" customWidth="1"/>
    <col min="26" max="26" width="13.5703125" customWidth="1"/>
    <col min="31" max="31" width="13.7109375" customWidth="1"/>
  </cols>
  <sheetData>
    <row r="1" spans="1:32" ht="41.25" customHeight="1" x14ac:dyDescent="0.2">
      <c r="A1" s="302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4"/>
      <c r="O1" s="297" t="s">
        <v>38</v>
      </c>
      <c r="P1" s="298"/>
      <c r="Q1" s="298"/>
      <c r="R1" s="298"/>
      <c r="S1" s="298"/>
      <c r="T1" s="298"/>
      <c r="U1" s="297" t="s">
        <v>39</v>
      </c>
      <c r="V1" s="298"/>
      <c r="W1" s="298"/>
      <c r="X1" s="298"/>
      <c r="Y1" s="298"/>
      <c r="Z1" s="299"/>
    </row>
    <row r="2" spans="1:32" s="4" customFormat="1" ht="55.5" thickBot="1" x14ac:dyDescent="0.5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310" t="s">
        <v>133</v>
      </c>
      <c r="AB2" s="311"/>
      <c r="AC2" s="311"/>
      <c r="AD2" s="311"/>
      <c r="AE2" s="311"/>
      <c r="AF2" s="311"/>
    </row>
    <row r="3" spans="1:32" s="4" customFormat="1" ht="13.5" thickBot="1" x14ac:dyDescent="0.25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5" thickBot="1" x14ac:dyDescent="0.25">
      <c r="A4" s="305" t="s">
        <v>181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5" thickBot="1" x14ac:dyDescent="0.25">
      <c r="A5" s="307" t="s">
        <v>76</v>
      </c>
      <c r="B5" s="308"/>
      <c r="C5" s="309"/>
      <c r="D5" s="307" t="s">
        <v>84</v>
      </c>
      <c r="E5" s="308"/>
      <c r="F5" s="315"/>
      <c r="G5" s="315"/>
      <c r="H5" s="315"/>
      <c r="I5" s="316"/>
      <c r="J5" s="69"/>
      <c r="K5" s="69"/>
      <c r="L5" s="69"/>
      <c r="M5" s="69"/>
      <c r="N5" s="69"/>
      <c r="AA5" s="312" t="s">
        <v>134</v>
      </c>
      <c r="AB5" s="313"/>
      <c r="AC5" s="313"/>
      <c r="AD5" s="314"/>
    </row>
    <row r="6" spans="1:32" ht="38.25" customHeight="1" thickBot="1" x14ac:dyDescent="0.25">
      <c r="A6" s="63"/>
      <c r="B6" s="64"/>
      <c r="C6" s="65"/>
      <c r="D6" s="300" t="s">
        <v>85</v>
      </c>
      <c r="E6" s="301"/>
      <c r="F6" s="300" t="s">
        <v>86</v>
      </c>
      <c r="G6" s="301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5" thickBot="1" x14ac:dyDescent="0.25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5" thickBot="1" x14ac:dyDescent="0.25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x14ac:dyDescent="0.2">
      <c r="X49" s="317"/>
      <c r="Y49" s="317"/>
    </row>
    <row r="50" spans="1:32" ht="13.5" thickBot="1" x14ac:dyDescent="0.25">
      <c r="X50" s="124"/>
      <c r="Y50" s="125"/>
    </row>
    <row r="51" spans="1:32" ht="13.5" thickBot="1" x14ac:dyDescent="0.25">
      <c r="A51" s="324" t="s">
        <v>164</v>
      </c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6"/>
      <c r="M51" s="69"/>
      <c r="X51" s="124"/>
      <c r="Y51" s="125"/>
    </row>
    <row r="52" spans="1:32" x14ac:dyDescent="0.2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5" thickBot="1" x14ac:dyDescent="0.25">
      <c r="A53" s="77">
        <v>34.197009999999999</v>
      </c>
      <c r="B53" s="78">
        <v>1.404223E-3</v>
      </c>
      <c r="C53" s="78">
        <v>2.781686E-6</v>
      </c>
      <c r="D53" s="78">
        <v>-4.4524789999999996E-9</v>
      </c>
      <c r="E53" s="78">
        <v>-3.5731600000000001E-12</v>
      </c>
      <c r="F53" s="79">
        <v>1.503918E-15</v>
      </c>
      <c r="G53" s="205">
        <v>0.24524750000000001</v>
      </c>
      <c r="H53" s="206">
        <v>-3.2958169999999997E-5</v>
      </c>
      <c r="I53" s="206">
        <v>6.5557700000000002E-7</v>
      </c>
      <c r="J53" s="206">
        <v>-6.7591330000000001E-10</v>
      </c>
      <c r="K53" s="206">
        <v>2.5200629999999999E-13</v>
      </c>
      <c r="L53" s="207">
        <v>-2.935547E-17</v>
      </c>
      <c r="M53" s="83"/>
      <c r="X53" s="124"/>
      <c r="Y53" s="125"/>
    </row>
    <row r="54" spans="1:32" x14ac:dyDescent="0.2">
      <c r="X54" s="126"/>
      <c r="Y54" s="125"/>
    </row>
    <row r="55" spans="1:32" ht="13.5" thickBot="1" x14ac:dyDescent="0.25"/>
    <row r="56" spans="1:32" ht="13.5" thickBot="1" x14ac:dyDescent="0.25">
      <c r="A56" s="337" t="s">
        <v>150</v>
      </c>
      <c r="B56" s="338"/>
      <c r="C56" s="172">
        <v>1</v>
      </c>
      <c r="D56" s="335" t="s">
        <v>149</v>
      </c>
      <c r="E56" s="336"/>
      <c r="F56" s="336"/>
      <c r="G56" s="172">
        <v>65</v>
      </c>
      <c r="H56" s="321" t="s">
        <v>88</v>
      </c>
      <c r="I56" s="322"/>
      <c r="J56" s="322"/>
      <c r="K56" s="339"/>
      <c r="L56" s="339"/>
      <c r="M56" s="339"/>
      <c r="N56" s="339"/>
      <c r="O56" s="339"/>
      <c r="P56" s="340"/>
      <c r="Q56" s="344" t="s">
        <v>76</v>
      </c>
      <c r="R56" s="345"/>
      <c r="S56" s="346"/>
      <c r="T56" s="321" t="s">
        <v>90</v>
      </c>
      <c r="U56" s="322"/>
      <c r="V56" s="322"/>
      <c r="W56" s="330"/>
      <c r="AA56" s="3"/>
      <c r="AB56" s="3"/>
      <c r="AC56" s="3"/>
      <c r="AD56" s="3"/>
    </row>
    <row r="57" spans="1:32" ht="13.5" thickBot="1" x14ac:dyDescent="0.25">
      <c r="A57" s="324" t="s">
        <v>148</v>
      </c>
      <c r="B57" s="325"/>
      <c r="C57" s="325"/>
      <c r="D57" s="325"/>
      <c r="E57" s="325"/>
      <c r="F57" s="325"/>
      <c r="G57" s="326"/>
      <c r="H57" s="321" t="s">
        <v>87</v>
      </c>
      <c r="I57" s="334"/>
      <c r="J57" s="334"/>
      <c r="K57" s="339"/>
      <c r="L57" s="339"/>
      <c r="M57" s="339"/>
      <c r="N57" s="339"/>
      <c r="O57" s="339"/>
      <c r="P57" s="340"/>
      <c r="Q57" s="321" t="s">
        <v>87</v>
      </c>
      <c r="R57" s="334"/>
      <c r="S57" s="330"/>
      <c r="T57" s="321" t="s">
        <v>87</v>
      </c>
      <c r="U57" s="334"/>
      <c r="V57" s="334"/>
      <c r="W57" s="330"/>
      <c r="X57" s="321" t="s">
        <v>77</v>
      </c>
      <c r="Y57" s="322"/>
      <c r="Z57" s="322"/>
      <c r="AA57" s="322"/>
      <c r="AB57" s="323"/>
      <c r="AC57" s="3"/>
      <c r="AD57" s="3"/>
    </row>
    <row r="58" spans="1:32" x14ac:dyDescent="0.2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318" t="s">
        <v>94</v>
      </c>
      <c r="AD58" s="319"/>
      <c r="AE58" s="320"/>
    </row>
    <row r="59" spans="1:32" ht="13.5" thickBot="1" x14ac:dyDescent="0.25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">
      <c r="A60" s="181">
        <v>5.0010000000000003</v>
      </c>
      <c r="B60" s="174">
        <v>3.71</v>
      </c>
      <c r="C60" s="175">
        <v>2998.4</v>
      </c>
      <c r="D60" s="174">
        <v>23.66</v>
      </c>
      <c r="E60" s="187">
        <f>ROUND(C60*D60/9549,3)</f>
        <v>7.4290000000000003</v>
      </c>
      <c r="F60" s="173">
        <v>7.4260000000000002</v>
      </c>
      <c r="G60" s="184" t="str">
        <f>IF(OR(E60-F60&gt;0.001*F60,E60-F60&lt;(-0.001)*F60),"ALARM","OK")</f>
        <v>OK</v>
      </c>
      <c r="H60" s="188">
        <f>ROUNDUP((B60*6.28981)*(3500/C60),1)</f>
        <v>27.3</v>
      </c>
      <c r="I60" s="191">
        <v>27.22</v>
      </c>
      <c r="J60" s="204" t="str">
        <f>IF(OR(H60-I60&gt;0.005*I60,H60-I60&lt;(-0.005)*I60),"ALARM","OK")</f>
        <v>OK</v>
      </c>
      <c r="K60" s="195">
        <f t="shared" ref="K60:K71" si="12">ROUNDUP((A60*(1000/9.81)*$C$56*3.28/$G$56)*(3500/C60)^2,2)</f>
        <v>35.059999999999995</v>
      </c>
      <c r="L60" s="174">
        <v>34.22</v>
      </c>
      <c r="M60" s="196" t="str">
        <f t="shared" ref="M60:M71" si="13">IF(OR(K60-L60&gt;0.005*L60,K60-L60&lt;(-0.005)*L60),"ALARM","OK")</f>
        <v>ALARM</v>
      </c>
      <c r="N60" s="198">
        <f>ROUNDUP((F60/(0.746*$G$56))*(3500/C60)^3,3)</f>
        <v>0.24399999999999999</v>
      </c>
      <c r="O60" s="173">
        <v>0.24399999999999999</v>
      </c>
      <c r="P60" s="184" t="str">
        <f t="shared" ref="P60:P71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34.197009999999999</v>
      </c>
      <c r="V60" s="48">
        <f>G53</f>
        <v>0.24524750000000001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">
      <c r="A61" s="182">
        <v>5.0979999999999999</v>
      </c>
      <c r="B61" s="167">
        <v>50.94</v>
      </c>
      <c r="C61" s="168">
        <v>2996.8</v>
      </c>
      <c r="D61" s="167">
        <v>29.01</v>
      </c>
      <c r="E61" s="144">
        <f t="shared" ref="E61:E71" si="15">ROUND(C61*D61/9549,3)</f>
        <v>9.1039999999999992</v>
      </c>
      <c r="F61" s="166">
        <v>9.1010000000000009</v>
      </c>
      <c r="G61" s="185" t="str">
        <f t="shared" ref="G61:G71" si="16">IF(OR(E61-F61&gt;0.001*F61,E61-F61&lt;(-0.001)*F61),"ALARM","OK")</f>
        <v>OK</v>
      </c>
      <c r="H61" s="189">
        <f t="shared" ref="H61:H71" si="17">ROUNDUP((B61*6.28981)*(3500/C61),1)</f>
        <v>374.3</v>
      </c>
      <c r="I61" s="167">
        <v>374.21</v>
      </c>
      <c r="J61" s="185" t="str">
        <f t="shared" ref="J61:J71" si="18">IF(OR(H61-I61&gt;0.005*I61,H61-I61&lt;(-0.005)*I61),"ALARM","OK")</f>
        <v>OK</v>
      </c>
      <c r="K61" s="146">
        <f t="shared" si="12"/>
        <v>35.769999999999996</v>
      </c>
      <c r="L61" s="167">
        <v>34.94</v>
      </c>
      <c r="M61" s="197" t="str">
        <f t="shared" si="13"/>
        <v>ALARM</v>
      </c>
      <c r="N61" s="199">
        <f t="shared" ref="N61:N71" si="19">ROUNDUP((F61/(0.746*$G$56))*(3500/C61)^3,3)</f>
        <v>0.29899999999999999</v>
      </c>
      <c r="O61" s="166">
        <v>0.29899999999999999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34.792623674945624</v>
      </c>
      <c r="V61" s="8">
        <f t="shared" ref="V61:V72" si="23">$G$53+$H$53*T61+$I$53*T61^2+$J$53*T61^3+$K$53*T61^4+$L$53*T61^5</f>
        <v>0.28866802936928432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">
      <c r="A62" s="182">
        <v>4.9889999999999999</v>
      </c>
      <c r="B62" s="167">
        <v>93.46</v>
      </c>
      <c r="C62" s="168">
        <v>2998</v>
      </c>
      <c r="D62" s="167">
        <v>34.450000000000003</v>
      </c>
      <c r="E62" s="144">
        <f t="shared" si="15"/>
        <v>10.816000000000001</v>
      </c>
      <c r="F62" s="166">
        <v>10.811999999999999</v>
      </c>
      <c r="G62" s="185" t="str">
        <f t="shared" si="16"/>
        <v>OK</v>
      </c>
      <c r="H62" s="190">
        <f t="shared" si="17"/>
        <v>686.30000000000007</v>
      </c>
      <c r="I62" s="167">
        <v>686.26</v>
      </c>
      <c r="J62" s="185" t="str">
        <f t="shared" si="18"/>
        <v>OK</v>
      </c>
      <c r="K62" s="192">
        <f t="shared" si="12"/>
        <v>34.979999999999997</v>
      </c>
      <c r="L62" s="167">
        <v>34.159999999999997</v>
      </c>
      <c r="M62" s="197" t="str">
        <f t="shared" si="13"/>
        <v>ALARM</v>
      </c>
      <c r="N62" s="200">
        <f t="shared" si="19"/>
        <v>0.35499999999999998</v>
      </c>
      <c r="O62" s="166">
        <v>0.35499999999999998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34.410639725260005</v>
      </c>
      <c r="V62" s="41">
        <f t="shared" si="23"/>
        <v>0.36714418788710002</v>
      </c>
      <c r="W62" s="94">
        <f t="shared" ref="W62:W70" si="24">(T62*U62*100)/(135788*V62)</f>
        <v>48.316196346253669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">
      <c r="A63" s="182">
        <v>4.87</v>
      </c>
      <c r="B63" s="167">
        <v>116.68</v>
      </c>
      <c r="C63" s="168">
        <v>2995.7</v>
      </c>
      <c r="D63" s="167">
        <v>39.119999999999997</v>
      </c>
      <c r="E63" s="144">
        <f t="shared" si="15"/>
        <v>12.273</v>
      </c>
      <c r="F63" s="166">
        <v>11.956</v>
      </c>
      <c r="G63" s="194" t="str">
        <f t="shared" si="16"/>
        <v>ALARM</v>
      </c>
      <c r="H63" s="189">
        <f t="shared" si="17"/>
        <v>857.5</v>
      </c>
      <c r="I63" s="167">
        <v>857.42</v>
      </c>
      <c r="J63" s="185" t="str">
        <f t="shared" si="18"/>
        <v>OK</v>
      </c>
      <c r="K63" s="146">
        <f t="shared" si="12"/>
        <v>34.199999999999996</v>
      </c>
      <c r="L63" s="167">
        <v>33.380000000000003</v>
      </c>
      <c r="M63" s="197" t="str">
        <f t="shared" si="13"/>
        <v>ALARM</v>
      </c>
      <c r="N63" s="201">
        <f t="shared" si="19"/>
        <v>0.39400000000000002</v>
      </c>
      <c r="O63" s="166">
        <v>0.39300000000000002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33.668144460298578</v>
      </c>
      <c r="V63" s="8">
        <f t="shared" si="23"/>
        <v>0.39024612351545207</v>
      </c>
      <c r="W63" s="127">
        <f t="shared" si="24"/>
        <v>52.41711826406673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">
      <c r="A64" s="182">
        <v>4.7169999999999996</v>
      </c>
      <c r="B64" s="167">
        <v>135.04</v>
      </c>
      <c r="C64" s="168">
        <v>2995</v>
      </c>
      <c r="D64" s="167">
        <v>40.44</v>
      </c>
      <c r="E64" s="144">
        <f t="shared" si="15"/>
        <v>12.683999999999999</v>
      </c>
      <c r="F64" s="166">
        <v>12.682</v>
      </c>
      <c r="G64" s="185" t="str">
        <f t="shared" si="16"/>
        <v>OK</v>
      </c>
      <c r="H64" s="189">
        <f t="shared" si="17"/>
        <v>992.6</v>
      </c>
      <c r="I64" s="167">
        <v>992.57</v>
      </c>
      <c r="J64" s="185" t="str">
        <f t="shared" si="18"/>
        <v>OK</v>
      </c>
      <c r="K64" s="146">
        <f t="shared" si="12"/>
        <v>33.14</v>
      </c>
      <c r="L64" s="167">
        <v>32.33</v>
      </c>
      <c r="M64" s="197" t="str">
        <f t="shared" si="13"/>
        <v>ALARM</v>
      </c>
      <c r="N64" s="201">
        <f t="shared" si="19"/>
        <v>0.41799999999999998</v>
      </c>
      <c r="O64" s="166">
        <v>0.41799999999999998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32.477391210088129</v>
      </c>
      <c r="V64" s="8">
        <f t="shared" si="23"/>
        <v>0.40863031870452182</v>
      </c>
      <c r="W64" s="127">
        <f t="shared" si="24"/>
        <v>55.604861569003297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PASS</v>
      </c>
      <c r="AD64" s="100" t="str">
        <f t="shared" si="30"/>
        <v>FAIL</v>
      </c>
      <c r="AE64" s="101"/>
    </row>
    <row r="65" spans="1:32" x14ac:dyDescent="0.2">
      <c r="A65" s="182">
        <v>4.4219999999999997</v>
      </c>
      <c r="B65" s="167">
        <v>151.99</v>
      </c>
      <c r="C65" s="168">
        <v>2994.6</v>
      </c>
      <c r="D65" s="167">
        <v>42.22</v>
      </c>
      <c r="E65" s="144">
        <f t="shared" si="15"/>
        <v>13.24</v>
      </c>
      <c r="F65" s="166">
        <v>13.236000000000001</v>
      </c>
      <c r="G65" s="185" t="str">
        <f t="shared" si="16"/>
        <v>OK</v>
      </c>
      <c r="H65" s="189">
        <f t="shared" si="17"/>
        <v>1117.3999999999999</v>
      </c>
      <c r="I65" s="167">
        <v>1117.3599999999999</v>
      </c>
      <c r="J65" s="185" t="str">
        <f t="shared" si="18"/>
        <v>OK</v>
      </c>
      <c r="K65" s="146">
        <f t="shared" si="12"/>
        <v>31.080000000000002</v>
      </c>
      <c r="L65" s="167">
        <v>30.27</v>
      </c>
      <c r="M65" s="197" t="str">
        <f t="shared" si="13"/>
        <v>ALARM</v>
      </c>
      <c r="N65" s="201">
        <f t="shared" si="19"/>
        <v>0.436</v>
      </c>
      <c r="O65" s="166">
        <v>0.436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30.777058731489007</v>
      </c>
      <c r="V65" s="8">
        <f t="shared" si="23"/>
        <v>0.42213672079158976</v>
      </c>
      <c r="W65" s="127">
        <f t="shared" si="24"/>
        <v>57.719299759470587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PASS</v>
      </c>
      <c r="AD65" s="100" t="str">
        <f t="shared" si="30"/>
        <v>FAIL</v>
      </c>
      <c r="AE65" s="101"/>
    </row>
    <row r="66" spans="1:32" x14ac:dyDescent="0.2">
      <c r="A66" s="182">
        <v>3.9239999999999999</v>
      </c>
      <c r="B66" s="167">
        <v>172.26</v>
      </c>
      <c r="C66" s="168">
        <v>2995.6</v>
      </c>
      <c r="D66" s="167">
        <v>42.25</v>
      </c>
      <c r="E66" s="144">
        <f t="shared" si="15"/>
        <v>13.254</v>
      </c>
      <c r="F66" s="166">
        <v>13.250999999999999</v>
      </c>
      <c r="G66" s="185" t="str">
        <f t="shared" si="16"/>
        <v>OK</v>
      </c>
      <c r="H66" s="190">
        <f t="shared" si="17"/>
        <v>1266</v>
      </c>
      <c r="I66" s="167">
        <v>1265.93</v>
      </c>
      <c r="J66" s="185" t="str">
        <f t="shared" si="18"/>
        <v>OK</v>
      </c>
      <c r="K66" s="192">
        <f t="shared" si="12"/>
        <v>27.560000000000002</v>
      </c>
      <c r="L66" s="167">
        <v>26.76</v>
      </c>
      <c r="M66" s="197" t="str">
        <f t="shared" si="13"/>
        <v>ALARM</v>
      </c>
      <c r="N66" s="200">
        <f t="shared" si="19"/>
        <v>0.436</v>
      </c>
      <c r="O66" s="166">
        <v>0.436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28.526746389760003</v>
      </c>
      <c r="V66" s="41">
        <f t="shared" si="23"/>
        <v>0.43126485416960003</v>
      </c>
      <c r="W66" s="94">
        <f t="shared" si="24"/>
        <v>58.455856554866585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">
      <c r="A67" s="182">
        <v>3.4590000000000001</v>
      </c>
      <c r="B67" s="167">
        <v>190.3</v>
      </c>
      <c r="C67" s="168">
        <v>2993.1</v>
      </c>
      <c r="D67" s="167">
        <v>41.72</v>
      </c>
      <c r="E67" s="144">
        <f t="shared" si="15"/>
        <v>13.077</v>
      </c>
      <c r="F67" s="166">
        <v>13.074999999999999</v>
      </c>
      <c r="G67" s="185" t="str">
        <f t="shared" si="16"/>
        <v>OK</v>
      </c>
      <c r="H67" s="189">
        <f t="shared" si="17"/>
        <v>1399.6999999999998</v>
      </c>
      <c r="I67" s="167">
        <v>1399.65</v>
      </c>
      <c r="J67" s="185" t="str">
        <f t="shared" si="18"/>
        <v>OK</v>
      </c>
      <c r="K67" s="146">
        <f t="shared" si="12"/>
        <v>24.330000000000002</v>
      </c>
      <c r="L67" s="167">
        <v>23.54</v>
      </c>
      <c r="M67" s="197" t="str">
        <f t="shared" si="13"/>
        <v>ALARM</v>
      </c>
      <c r="N67" s="201">
        <f t="shared" si="19"/>
        <v>0.432</v>
      </c>
      <c r="O67" s="166">
        <v>0.43099999999999999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25.712481670765371</v>
      </c>
      <c r="V67" s="8">
        <f t="shared" si="23"/>
        <v>0.43706631734526641</v>
      </c>
      <c r="W67" s="127">
        <f t="shared" si="24"/>
        <v>57.405187915034709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">
      <c r="A68" s="182">
        <v>2.8740000000000001</v>
      </c>
      <c r="B68" s="167">
        <v>211.75</v>
      </c>
      <c r="C68" s="168">
        <v>2993.5</v>
      </c>
      <c r="D68" s="167">
        <v>42.72</v>
      </c>
      <c r="E68" s="144">
        <f t="shared" si="15"/>
        <v>13.391999999999999</v>
      </c>
      <c r="F68" s="166">
        <v>13.388</v>
      </c>
      <c r="G68" s="185" t="str">
        <f t="shared" si="16"/>
        <v>OK</v>
      </c>
      <c r="H68" s="189">
        <f t="shared" si="17"/>
        <v>1557.3</v>
      </c>
      <c r="I68" s="167">
        <v>1557.25</v>
      </c>
      <c r="J68" s="185" t="str">
        <f t="shared" si="18"/>
        <v>OK</v>
      </c>
      <c r="K68" s="146">
        <f t="shared" si="12"/>
        <v>20.21</v>
      </c>
      <c r="L68" s="167">
        <v>19.420000000000002</v>
      </c>
      <c r="M68" s="197" t="str">
        <f t="shared" si="13"/>
        <v>ALARM</v>
      </c>
      <c r="N68" s="201">
        <f t="shared" si="19"/>
        <v>0.442</v>
      </c>
      <c r="O68" s="166">
        <v>0.441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22.352227693181874</v>
      </c>
      <c r="V68" s="8">
        <f t="shared" si="23"/>
        <v>0.44103727999717834</v>
      </c>
      <c r="W68" s="127">
        <f t="shared" si="24"/>
        <v>54.119293969891842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">
      <c r="A69" s="182">
        <v>2.0590000000000002</v>
      </c>
      <c r="B69" s="167">
        <v>233.07</v>
      </c>
      <c r="C69" s="168">
        <v>2995.3</v>
      </c>
      <c r="D69" s="167">
        <v>43.75</v>
      </c>
      <c r="E69" s="144">
        <f t="shared" si="15"/>
        <v>13.723000000000001</v>
      </c>
      <c r="F69" s="166">
        <v>13.72</v>
      </c>
      <c r="G69" s="185" t="str">
        <f t="shared" si="16"/>
        <v>OK</v>
      </c>
      <c r="H69" s="189">
        <f t="shared" si="17"/>
        <v>1713</v>
      </c>
      <c r="I69" s="167">
        <v>1712.95</v>
      </c>
      <c r="J69" s="185" t="str">
        <f t="shared" si="18"/>
        <v>OK</v>
      </c>
      <c r="K69" s="146">
        <f t="shared" si="12"/>
        <v>14.47</v>
      </c>
      <c r="L69" s="167">
        <v>13.68</v>
      </c>
      <c r="M69" s="197" t="str">
        <f t="shared" si="13"/>
        <v>ALARM</v>
      </c>
      <c r="N69" s="201">
        <f t="shared" si="19"/>
        <v>0.45200000000000001</v>
      </c>
      <c r="O69" s="166">
        <v>0.45200000000000001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18.501390720705793</v>
      </c>
      <c r="V69" s="8">
        <f t="shared" si="23"/>
        <v>0.44501098003390405</v>
      </c>
      <c r="W69" s="127">
        <f t="shared" si="24"/>
        <v>48.222843413423192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">
      <c r="A70" s="182">
        <v>1.377</v>
      </c>
      <c r="B70" s="167">
        <v>251.61</v>
      </c>
      <c r="C70" s="168">
        <v>2994.5</v>
      </c>
      <c r="D70" s="167">
        <v>45.46</v>
      </c>
      <c r="E70" s="144">
        <f t="shared" si="15"/>
        <v>14.256</v>
      </c>
      <c r="F70" s="166">
        <v>14.25</v>
      </c>
      <c r="G70" s="185" t="str">
        <f t="shared" si="16"/>
        <v>OK</v>
      </c>
      <c r="H70" s="190">
        <f t="shared" si="17"/>
        <v>1849.8</v>
      </c>
      <c r="I70" s="167">
        <v>1849.71</v>
      </c>
      <c r="J70" s="185" t="str">
        <f t="shared" si="18"/>
        <v>OK</v>
      </c>
      <c r="K70" s="192">
        <f t="shared" si="12"/>
        <v>9.68</v>
      </c>
      <c r="L70" s="167">
        <v>8.9</v>
      </c>
      <c r="M70" s="197" t="str">
        <f t="shared" si="13"/>
        <v>ALARM</v>
      </c>
      <c r="N70" s="200">
        <f t="shared" si="19"/>
        <v>0.47</v>
      </c>
      <c r="O70" s="166">
        <v>0.46899999999999997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14.258327674259998</v>
      </c>
      <c r="V70" s="41">
        <f t="shared" si="23"/>
        <v>0.45105022065209949</v>
      </c>
      <c r="W70" s="94">
        <f t="shared" si="24"/>
        <v>39.575938381996416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">
      <c r="A71" s="182">
        <v>2.7E-2</v>
      </c>
      <c r="B71" s="167">
        <v>285.91000000000003</v>
      </c>
      <c r="C71" s="168">
        <v>2993.3</v>
      </c>
      <c r="D71" s="167">
        <v>49.26</v>
      </c>
      <c r="E71" s="144">
        <f t="shared" si="15"/>
        <v>15.441000000000001</v>
      </c>
      <c r="F71" s="166">
        <v>15.438000000000001</v>
      </c>
      <c r="G71" s="185" t="str">
        <f t="shared" si="16"/>
        <v>OK</v>
      </c>
      <c r="H71" s="208">
        <f t="shared" si="17"/>
        <v>2102.7999999999997</v>
      </c>
      <c r="I71" s="167">
        <v>2102.77</v>
      </c>
      <c r="J71" s="185" t="str">
        <f t="shared" si="18"/>
        <v>OK</v>
      </c>
      <c r="K71" s="145">
        <f t="shared" si="12"/>
        <v>0.19</v>
      </c>
      <c r="L71" s="167">
        <v>1.4E-2</v>
      </c>
      <c r="M71" s="197" t="str">
        <f t="shared" si="13"/>
        <v>ALARM</v>
      </c>
      <c r="N71" s="201">
        <f t="shared" si="19"/>
        <v>0.50900000000000001</v>
      </c>
      <c r="O71" s="166">
        <v>0.50900000000000001</v>
      </c>
      <c r="P71" s="185" t="str">
        <f t="shared" si="14"/>
        <v>OK</v>
      </c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10.678365370240002</v>
      </c>
      <c r="V71" s="8">
        <f t="shared" si="23"/>
        <v>0.45883567591039998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5" thickBot="1" x14ac:dyDescent="0.25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7.0400868218199975</v>
      </c>
      <c r="V72" s="57">
        <f t="shared" si="23"/>
        <v>0.47047142541469944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  <mergeCell ref="A5:C5"/>
    <mergeCell ref="D5:I5"/>
    <mergeCell ref="AA5:AD5"/>
    <mergeCell ref="A1:N1"/>
    <mergeCell ref="O1:T1"/>
    <mergeCell ref="U1:Z1"/>
    <mergeCell ref="AA2:AF2"/>
    <mergeCell ref="A4:N4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D25" zoomScale="90" zoomScaleNormal="90" workbookViewId="0">
      <selection activeCell="T56" sqref="T56:W72"/>
    </sheetView>
  </sheetViews>
  <sheetFormatPr defaultRowHeight="12.75" x14ac:dyDescent="0.2"/>
  <cols>
    <col min="1" max="2" width="12.7109375" bestFit="1" customWidth="1"/>
    <col min="3" max="3" width="12.28515625" bestFit="1" customWidth="1"/>
    <col min="4" max="4" width="12.7109375" bestFit="1" customWidth="1"/>
    <col min="5" max="5" width="13.7109375" bestFit="1" customWidth="1"/>
    <col min="6" max="6" width="12.7109375" bestFit="1" customWidth="1"/>
    <col min="7" max="7" width="13.85546875" customWidth="1"/>
    <col min="8" max="8" width="13.5703125" customWidth="1"/>
    <col min="9" max="9" width="14.140625" customWidth="1"/>
    <col min="10" max="10" width="14.42578125" customWidth="1"/>
    <col min="11" max="11" width="13.85546875" customWidth="1"/>
    <col min="12" max="12" width="14.7109375" customWidth="1"/>
    <col min="13" max="13" width="14" customWidth="1"/>
    <col min="14" max="14" width="16.28515625" customWidth="1"/>
    <col min="15" max="15" width="14" customWidth="1"/>
    <col min="16" max="16" width="14.140625" customWidth="1"/>
    <col min="17" max="17" width="14.85546875" style="3" customWidth="1"/>
    <col min="18" max="18" width="13.85546875" style="3" customWidth="1"/>
    <col min="19" max="19" width="14.42578125" style="3" customWidth="1"/>
    <col min="20" max="20" width="13.5703125" style="3" customWidth="1"/>
    <col min="21" max="22" width="13.85546875" customWidth="1"/>
    <col min="23" max="23" width="14.7109375" customWidth="1"/>
    <col min="24" max="24" width="13.5703125" customWidth="1"/>
    <col min="25" max="25" width="14.7109375" customWidth="1"/>
    <col min="26" max="26" width="13.5703125" customWidth="1"/>
    <col min="31" max="31" width="13.7109375" customWidth="1"/>
  </cols>
  <sheetData>
    <row r="1" spans="1:32" ht="41.25" customHeight="1" x14ac:dyDescent="0.2">
      <c r="A1" s="302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4"/>
      <c r="O1" s="297" t="s">
        <v>38</v>
      </c>
      <c r="P1" s="298"/>
      <c r="Q1" s="298"/>
      <c r="R1" s="298"/>
      <c r="S1" s="298"/>
      <c r="T1" s="298"/>
      <c r="U1" s="297" t="s">
        <v>39</v>
      </c>
      <c r="V1" s="298"/>
      <c r="W1" s="298"/>
      <c r="X1" s="298"/>
      <c r="Y1" s="298"/>
      <c r="Z1" s="299"/>
    </row>
    <row r="2" spans="1:32" s="4" customFormat="1" ht="55.5" thickBot="1" x14ac:dyDescent="0.5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310" t="s">
        <v>133</v>
      </c>
      <c r="AB2" s="311"/>
      <c r="AC2" s="311"/>
      <c r="AD2" s="311"/>
      <c r="AE2" s="311"/>
      <c r="AF2" s="311"/>
    </row>
    <row r="3" spans="1:32" s="4" customFormat="1" ht="13.5" thickBot="1" x14ac:dyDescent="0.25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5" thickBot="1" x14ac:dyDescent="0.25">
      <c r="A4" s="305" t="s">
        <v>181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5" thickBot="1" x14ac:dyDescent="0.25">
      <c r="A5" s="307" t="s">
        <v>76</v>
      </c>
      <c r="B5" s="308"/>
      <c r="C5" s="309"/>
      <c r="D5" s="307" t="s">
        <v>84</v>
      </c>
      <c r="E5" s="308"/>
      <c r="F5" s="315"/>
      <c r="G5" s="315"/>
      <c r="H5" s="315"/>
      <c r="I5" s="316"/>
      <c r="J5" s="69"/>
      <c r="K5" s="69"/>
      <c r="L5" s="69"/>
      <c r="M5" s="69"/>
      <c r="N5" s="69"/>
      <c r="AA5" s="312" t="s">
        <v>134</v>
      </c>
      <c r="AB5" s="313"/>
      <c r="AC5" s="313"/>
      <c r="AD5" s="314"/>
    </row>
    <row r="6" spans="1:32" ht="38.25" customHeight="1" thickBot="1" x14ac:dyDescent="0.25">
      <c r="A6" s="63"/>
      <c r="B6" s="64"/>
      <c r="C6" s="65"/>
      <c r="D6" s="300" t="s">
        <v>85</v>
      </c>
      <c r="E6" s="301"/>
      <c r="F6" s="300" t="s">
        <v>86</v>
      </c>
      <c r="G6" s="301"/>
      <c r="H6" s="66"/>
      <c r="I6" s="67"/>
      <c r="J6" s="69"/>
      <c r="K6" s="69"/>
      <c r="L6" s="69"/>
      <c r="M6" s="69"/>
      <c r="N6" s="69"/>
      <c r="AA6" s="230"/>
      <c r="AB6" s="231"/>
      <c r="AC6" s="232"/>
      <c r="AD6" s="154"/>
    </row>
    <row r="7" spans="1:32" x14ac:dyDescent="0.2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5" thickBot="1" x14ac:dyDescent="0.25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5" thickBot="1" x14ac:dyDescent="0.25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x14ac:dyDescent="0.2">
      <c r="X49" s="317"/>
      <c r="Y49" s="317"/>
    </row>
    <row r="50" spans="1:32" ht="13.5" thickBot="1" x14ac:dyDescent="0.25">
      <c r="X50" s="124"/>
      <c r="Y50" s="125"/>
    </row>
    <row r="51" spans="1:32" ht="13.5" thickBot="1" x14ac:dyDescent="0.25">
      <c r="A51" s="347" t="s">
        <v>164</v>
      </c>
      <c r="B51" s="348"/>
      <c r="C51" s="348"/>
      <c r="D51" s="348"/>
      <c r="E51" s="348"/>
      <c r="F51" s="348"/>
      <c r="G51" s="325"/>
      <c r="H51" s="325"/>
      <c r="I51" s="325"/>
      <c r="J51" s="325"/>
      <c r="K51" s="325"/>
      <c r="L51" s="326"/>
      <c r="M51" s="69"/>
      <c r="X51" s="124"/>
      <c r="Y51" s="125"/>
    </row>
    <row r="52" spans="1:32" x14ac:dyDescent="0.2">
      <c r="A52" s="74" t="s">
        <v>2</v>
      </c>
      <c r="B52" s="75" t="s">
        <v>3</v>
      </c>
      <c r="C52" s="75" t="s">
        <v>4</v>
      </c>
      <c r="D52" s="75" t="s">
        <v>5</v>
      </c>
      <c r="E52" s="75" t="s">
        <v>6</v>
      </c>
      <c r="F52" s="76" t="s">
        <v>7</v>
      </c>
      <c r="G52" s="247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O52" s="243"/>
      <c r="X52" s="124"/>
      <c r="Y52" s="125"/>
    </row>
    <row r="53" spans="1:32" ht="13.5" thickBot="1" x14ac:dyDescent="0.25">
      <c r="A53" s="249">
        <v>36.152349999999998</v>
      </c>
      <c r="B53" s="250">
        <v>-3.2961209999999999E-3</v>
      </c>
      <c r="C53" s="250">
        <v>1.856065E-5</v>
      </c>
      <c r="D53" s="250">
        <v>-2.7407259999999999E-8</v>
      </c>
      <c r="E53" s="250">
        <v>1.083283E-11</v>
      </c>
      <c r="F53" s="251">
        <v>-1.65719E-15</v>
      </c>
      <c r="G53" s="248">
        <v>0.2451998</v>
      </c>
      <c r="H53" s="206">
        <v>1.509628E-5</v>
      </c>
      <c r="I53" s="206">
        <v>5.6647879999999996E-7</v>
      </c>
      <c r="J53" s="206">
        <v>-6.3997010000000005E-10</v>
      </c>
      <c r="K53" s="206">
        <v>2.634381E-13</v>
      </c>
      <c r="L53" s="207">
        <v>-3.520485E-17</v>
      </c>
      <c r="M53" s="83"/>
      <c r="X53" s="124"/>
      <c r="Y53" s="125"/>
    </row>
    <row r="54" spans="1:32" x14ac:dyDescent="0.2">
      <c r="X54" s="126"/>
      <c r="Y54" s="125"/>
    </row>
    <row r="55" spans="1:32" ht="13.5" thickBot="1" x14ac:dyDescent="0.25"/>
    <row r="56" spans="1:32" ht="13.5" thickBot="1" x14ac:dyDescent="0.25">
      <c r="A56" s="337" t="s">
        <v>150</v>
      </c>
      <c r="B56" s="338"/>
      <c r="C56" s="172">
        <v>1</v>
      </c>
      <c r="D56" s="335" t="s">
        <v>149</v>
      </c>
      <c r="E56" s="336"/>
      <c r="F56" s="336"/>
      <c r="G56" s="172">
        <v>54</v>
      </c>
      <c r="H56" s="321" t="s">
        <v>88</v>
      </c>
      <c r="I56" s="322"/>
      <c r="J56" s="322"/>
      <c r="K56" s="339"/>
      <c r="L56" s="339"/>
      <c r="M56" s="339"/>
      <c r="N56" s="339"/>
      <c r="O56" s="339"/>
      <c r="P56" s="340"/>
      <c r="Q56" s="344" t="s">
        <v>76</v>
      </c>
      <c r="R56" s="345"/>
      <c r="S56" s="346"/>
      <c r="T56" s="321" t="s">
        <v>90</v>
      </c>
      <c r="U56" s="322"/>
      <c r="V56" s="322"/>
      <c r="W56" s="330"/>
      <c r="AA56" s="3"/>
      <c r="AB56" s="3"/>
      <c r="AC56" s="3"/>
      <c r="AD56" s="3"/>
    </row>
    <row r="57" spans="1:32" ht="13.5" thickBot="1" x14ac:dyDescent="0.25">
      <c r="A57" s="324" t="s">
        <v>148</v>
      </c>
      <c r="B57" s="325"/>
      <c r="C57" s="325"/>
      <c r="D57" s="325"/>
      <c r="E57" s="325"/>
      <c r="F57" s="325"/>
      <c r="G57" s="326"/>
      <c r="H57" s="321" t="s">
        <v>190</v>
      </c>
      <c r="I57" s="334"/>
      <c r="J57" s="334"/>
      <c r="K57" s="339"/>
      <c r="L57" s="339"/>
      <c r="M57" s="339"/>
      <c r="N57" s="339"/>
      <c r="O57" s="339"/>
      <c r="P57" s="340"/>
      <c r="Q57" s="321" t="s">
        <v>87</v>
      </c>
      <c r="R57" s="334"/>
      <c r="S57" s="330"/>
      <c r="T57" s="321" t="s">
        <v>87</v>
      </c>
      <c r="U57" s="334"/>
      <c r="V57" s="334"/>
      <c r="W57" s="330"/>
      <c r="X57" s="321" t="s">
        <v>77</v>
      </c>
      <c r="Y57" s="322"/>
      <c r="Z57" s="322"/>
      <c r="AA57" s="322"/>
      <c r="AB57" s="323"/>
      <c r="AC57" s="3"/>
      <c r="AD57" s="3"/>
    </row>
    <row r="58" spans="1:32" x14ac:dyDescent="0.2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318" t="s">
        <v>94</v>
      </c>
      <c r="AD58" s="319"/>
      <c r="AE58" s="320"/>
    </row>
    <row r="59" spans="1:32" ht="13.5" thickBot="1" x14ac:dyDescent="0.25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">
      <c r="A60" s="181">
        <v>4.3890000000000002</v>
      </c>
      <c r="B60" s="174">
        <v>4.1399999999999997</v>
      </c>
      <c r="C60" s="175">
        <v>2997</v>
      </c>
      <c r="D60" s="174">
        <v>19.84</v>
      </c>
      <c r="E60" s="245">
        <f>ROUND(C60*D60/9549,3)</f>
        <v>6.2270000000000003</v>
      </c>
      <c r="F60" s="173">
        <v>6.2240000000000002</v>
      </c>
      <c r="G60" s="184" t="str">
        <f>IF(OR(E60-F60&gt;0.001*F60,E60-F60&lt;(-0.001)*F60),"ALARM","OK")</f>
        <v>OK</v>
      </c>
      <c r="H60" s="188">
        <f>ROUNDUP((B60*6.28981)*(3500/C60),1)</f>
        <v>30.5</v>
      </c>
      <c r="I60" s="191">
        <v>30.41</v>
      </c>
      <c r="J60" s="204" t="str">
        <f>IF(OR(H60-I60&gt;0.005*I60,H60-I60&lt;(-0.005)*I60),"ALARM","OK")</f>
        <v>OK</v>
      </c>
      <c r="K60" s="240">
        <f>ROUNDUP(((A60-0.1396)*(1000/9.8)*$C$56*3.28/$G$56)*(3500/C60)^2,2)</f>
        <v>35.93</v>
      </c>
      <c r="L60" s="174">
        <f>1947.71/54</f>
        <v>36.068703703703704</v>
      </c>
      <c r="M60" s="239" t="str">
        <f t="shared" ref="M60:M67" si="12">IF(OR(K60-L60&gt;0.005*L60,K60-L60&lt;(-0.005)*L60),"ALARM","OK")</f>
        <v>OK</v>
      </c>
      <c r="N60" s="198">
        <f>ROUNDUP((F60/(0.746*$G$56))*(3500/C60)^3,3)</f>
        <v>0.247</v>
      </c>
      <c r="O60" s="173">
        <f>13.293/54</f>
        <v>0.24616666666666664</v>
      </c>
      <c r="P60" s="184" t="str">
        <f t="shared" ref="P60:P67" si="13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36.152349999999998</v>
      </c>
      <c r="V60" s="48">
        <f>G53</f>
        <v>0.2451998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">
      <c r="A61" s="182">
        <v>4.1859999999999999</v>
      </c>
      <c r="B61" s="167">
        <v>121.03</v>
      </c>
      <c r="C61" s="168">
        <v>2994.6</v>
      </c>
      <c r="D61" s="167">
        <v>32.299999999999997</v>
      </c>
      <c r="E61" s="246">
        <f t="shared" ref="E61:E67" si="14">ROUND(C61*D61/9549,3)</f>
        <v>10.129</v>
      </c>
      <c r="F61" s="166">
        <v>10.124000000000001</v>
      </c>
      <c r="G61" s="185" t="str">
        <f t="shared" ref="G61:G67" si="15">IF(OR(E61-F61&gt;0.001*F61,E61-F61&lt;(-0.001)*F61),"ALARM","OK")</f>
        <v>OK</v>
      </c>
      <c r="H61" s="189">
        <f t="shared" ref="H61:H67" si="16">ROUNDUP((B61*6.28981)*(3500/C61),1)</f>
        <v>889.80000000000007</v>
      </c>
      <c r="I61" s="167">
        <v>889.76</v>
      </c>
      <c r="J61" s="185" t="str">
        <f t="shared" ref="J61:J67" si="17">IF(OR(H61-I61&gt;0.005*I61,H61-I61&lt;(-0.005)*I61),"ALARM","OK")</f>
        <v>OK</v>
      </c>
      <c r="K61" s="241">
        <f>ROUNDUP(((A61-0.136)*(1000/9.8)*$C$56*3.28/$G$56)*(3500/C61)^2,2)</f>
        <v>34.29</v>
      </c>
      <c r="L61" s="167">
        <f>1859.93/54</f>
        <v>34.443148148148147</v>
      </c>
      <c r="M61" s="244" t="str">
        <f t="shared" si="12"/>
        <v>OK</v>
      </c>
      <c r="N61" s="199">
        <f t="shared" ref="N61:N67" si="18">ROUNDUP((F61/(0.746*$G$56))*(3500/C61)^3,3)</f>
        <v>0.40200000000000002</v>
      </c>
      <c r="O61" s="166">
        <f>21.68/54</f>
        <v>0.40148148148148149</v>
      </c>
      <c r="P61" s="185" t="str">
        <f t="shared" si="13"/>
        <v>OK</v>
      </c>
      <c r="Q61" s="51">
        <f>(Q60+Q62)/2</f>
        <v>350</v>
      </c>
      <c r="R61" s="8">
        <f t="shared" ref="R61:R72" si="19">$O$3+$P$3*Q61+$Q$3*Q61^2+$R$3*Q61^3+$S$3*Q61^4+$T$3*Q61^5</f>
        <v>34.024158746931249</v>
      </c>
      <c r="S61" s="55">
        <f t="shared" ref="S61:S72" si="20">$U$3+$V$3*Q61+$W$3*Q61^2+$X$3*Q61^3+$Y$3*Q61^4+$Z$3*Q61^5</f>
        <v>0.29064644929765621</v>
      </c>
      <c r="T61" s="51">
        <f>(T60+T62)/2</f>
        <v>350</v>
      </c>
      <c r="U61" s="8">
        <f t="shared" ref="U61:U72" si="21">$A$53+$B$53*T61+$C$53*T61^2+$D$53*T61^3+$E$53*T61^4+$F$53*T61^5</f>
        <v>36.251157285084368</v>
      </c>
      <c r="V61" s="8">
        <f t="shared" ref="V61:V72" si="22">$G$53+$H$53*T61+$I$53*T61^2+$J$53*T61^3+$K$53*T61^4+$L$53*T61^5</f>
        <v>0.2962067484775156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">
      <c r="A62" s="182">
        <v>3.9140000000000001</v>
      </c>
      <c r="B62" s="167">
        <v>147.28</v>
      </c>
      <c r="C62" s="168">
        <v>2995.9</v>
      </c>
      <c r="D62" s="167">
        <v>34.17</v>
      </c>
      <c r="E62" s="246">
        <f t="shared" si="14"/>
        <v>10.72</v>
      </c>
      <c r="F62" s="166">
        <v>10.715999999999999</v>
      </c>
      <c r="G62" s="185" t="str">
        <f t="shared" si="15"/>
        <v>OK</v>
      </c>
      <c r="H62" s="190">
        <f t="shared" si="16"/>
        <v>1082.3</v>
      </c>
      <c r="I62" s="167">
        <v>1082.22</v>
      </c>
      <c r="J62" s="185" t="str">
        <f t="shared" si="17"/>
        <v>OK</v>
      </c>
      <c r="K62" s="242">
        <f>ROUNDUP(((A62-0.1356)*(1000/9.8)*$C$56*3.28/$G$56)*(3500/C62)^2,2)</f>
        <v>31.970000000000002</v>
      </c>
      <c r="L62" s="167">
        <f>1734.19/54</f>
        <v>32.114629629629633</v>
      </c>
      <c r="M62" s="244" t="str">
        <f t="shared" si="12"/>
        <v>OK</v>
      </c>
      <c r="N62" s="200">
        <f t="shared" si="18"/>
        <v>0.42499999999999999</v>
      </c>
      <c r="O62" s="166">
        <f>22.914/54</f>
        <v>0.42433333333333334</v>
      </c>
      <c r="P62" s="185" t="str">
        <f t="shared" si="13"/>
        <v>OK</v>
      </c>
      <c r="Q62" s="61">
        <f>$C$3</f>
        <v>700</v>
      </c>
      <c r="R62" s="41">
        <f t="shared" si="19"/>
        <v>32.470848099800001</v>
      </c>
      <c r="S62" s="54">
        <f t="shared" si="20"/>
        <v>0.33873762042499994</v>
      </c>
      <c r="T62" s="61">
        <f>$C$3</f>
        <v>700</v>
      </c>
      <c r="U62" s="41">
        <f t="shared" si="21"/>
        <v>35.861532179700006</v>
      </c>
      <c r="V62" s="41">
        <f t="shared" si="22"/>
        <v>0.37116667237049994</v>
      </c>
      <c r="W62" s="94">
        <f t="shared" ref="W62:W70" si="23">(T62*U62*100)/(135788*V62)</f>
        <v>49.807703241300217</v>
      </c>
      <c r="X62" s="84">
        <f t="shared" ref="X62:X70" si="24">E11</f>
        <v>34.288794150098845</v>
      </c>
      <c r="Y62" s="112">
        <f t="shared" ref="Y62:AA70" si="25">G11</f>
        <v>30.659498613341036</v>
      </c>
      <c r="Z62" s="112">
        <f t="shared" si="25"/>
        <v>0.31163861079099997</v>
      </c>
      <c r="AA62" s="112">
        <f t="shared" si="25"/>
        <v>0.36583663005899997</v>
      </c>
      <c r="AB62" s="83"/>
      <c r="AC62" s="120" t="str">
        <f t="shared" ref="AC62:AC70" si="26">IF(OR(U62&gt;X62,U62&lt;Y62),"FAIL","PASS")</f>
        <v>FAIL</v>
      </c>
      <c r="AD62" s="121" t="str">
        <f t="shared" ref="AD62:AD70" si="27">IF(OR(V62&gt;AA62,V62&lt;Z62),"FAIL","PASS")</f>
        <v>FAIL</v>
      </c>
      <c r="AE62" s="101"/>
      <c r="AF62" s="123" t="s">
        <v>95</v>
      </c>
    </row>
    <row r="63" spans="1:32" x14ac:dyDescent="0.2">
      <c r="A63" s="182">
        <v>3.6309999999999998</v>
      </c>
      <c r="B63" s="167">
        <v>163.55000000000001</v>
      </c>
      <c r="C63" s="168">
        <v>2995</v>
      </c>
      <c r="D63" s="167">
        <v>34.65</v>
      </c>
      <c r="E63" s="246">
        <f t="shared" si="14"/>
        <v>10.868</v>
      </c>
      <c r="F63" s="166">
        <v>10.865</v>
      </c>
      <c r="G63" s="185" t="str">
        <f t="shared" si="15"/>
        <v>OK</v>
      </c>
      <c r="H63" s="189">
        <f t="shared" si="16"/>
        <v>1202.1999999999998</v>
      </c>
      <c r="I63" s="167">
        <v>1202.1500000000001</v>
      </c>
      <c r="J63" s="185" t="str">
        <f t="shared" si="17"/>
        <v>OK</v>
      </c>
      <c r="K63" s="241">
        <f>ROUNDUP(((A63-0.13392)*(1000/9.8)*$C$56*3.28/$G$56)*(3500/C63)^2,2)</f>
        <v>29.610000000000003</v>
      </c>
      <c r="L63" s="167">
        <f>1606.82/54</f>
        <v>29.755925925925926</v>
      </c>
      <c r="M63" s="244" t="str">
        <f t="shared" si="12"/>
        <v>OK</v>
      </c>
      <c r="N63" s="201">
        <f t="shared" si="18"/>
        <v>0.43099999999999999</v>
      </c>
      <c r="O63" s="166">
        <f>23.253/54</f>
        <v>0.43061111111111111</v>
      </c>
      <c r="P63" s="185" t="str">
        <f t="shared" si="13"/>
        <v>OK</v>
      </c>
      <c r="Q63" s="51">
        <f>(Q62+Q64)/2</f>
        <v>825</v>
      </c>
      <c r="R63" s="8">
        <f t="shared" si="19"/>
        <v>31.689462103857611</v>
      </c>
      <c r="S63" s="55">
        <f t="shared" si="20"/>
        <v>0.35255181358210447</v>
      </c>
      <c r="T63" s="51">
        <f>(T62+T64)/2</f>
        <v>825</v>
      </c>
      <c r="U63" s="8">
        <f t="shared" si="21"/>
        <v>35.061253102143844</v>
      </c>
      <c r="V63" s="8">
        <f t="shared" si="22"/>
        <v>0.39244381137331985</v>
      </c>
      <c r="W63" s="127">
        <f t="shared" si="23"/>
        <v>54.280333315092015</v>
      </c>
      <c r="X63" s="85">
        <f t="shared" si="24"/>
        <v>33.570838087227592</v>
      </c>
      <c r="Y63" s="113">
        <f t="shared" si="25"/>
        <v>29.807079605037579</v>
      </c>
      <c r="Z63" s="113">
        <f t="shared" si="25"/>
        <v>0.32434766849553615</v>
      </c>
      <c r="AA63" s="113">
        <f t="shared" si="25"/>
        <v>0.38075595866867284</v>
      </c>
      <c r="AB63" s="83"/>
      <c r="AC63" s="99" t="str">
        <f t="shared" si="26"/>
        <v>FAIL</v>
      </c>
      <c r="AD63" s="100" t="str">
        <f t="shared" si="27"/>
        <v>FAIL</v>
      </c>
      <c r="AE63" s="101"/>
    </row>
    <row r="64" spans="1:32" x14ac:dyDescent="0.2">
      <c r="A64" s="182">
        <v>3.1779999999999999</v>
      </c>
      <c r="B64" s="167">
        <v>186.81</v>
      </c>
      <c r="C64" s="168">
        <v>2993.6</v>
      </c>
      <c r="D64" s="167">
        <v>35.47</v>
      </c>
      <c r="E64" s="246">
        <f t="shared" si="14"/>
        <v>11.12</v>
      </c>
      <c r="F64" s="166">
        <v>11.117000000000001</v>
      </c>
      <c r="G64" s="185" t="str">
        <f t="shared" si="15"/>
        <v>OK</v>
      </c>
      <c r="H64" s="189">
        <f t="shared" si="16"/>
        <v>1373.8</v>
      </c>
      <c r="I64" s="167">
        <v>1373.73</v>
      </c>
      <c r="J64" s="185" t="str">
        <f t="shared" si="17"/>
        <v>OK</v>
      </c>
      <c r="K64" s="241">
        <f>ROUNDUP(((A64-0.13352)*(1000/9.8)*$C$56*3.28/$G$56)*(3500/C64)^2,2)</f>
        <v>25.8</v>
      </c>
      <c r="L64" s="167">
        <f>1401.23/54</f>
        <v>25.948703703703703</v>
      </c>
      <c r="M64" s="197" t="str">
        <f t="shared" si="12"/>
        <v>ALARM</v>
      </c>
      <c r="N64" s="201">
        <f t="shared" si="18"/>
        <v>0.442</v>
      </c>
      <c r="O64" s="166">
        <f>23.825/54</f>
        <v>0.44120370370370371</v>
      </c>
      <c r="P64" s="185" t="str">
        <f t="shared" si="13"/>
        <v>OK</v>
      </c>
      <c r="Q64" s="51">
        <f>(Q62+Q66)/2</f>
        <v>950</v>
      </c>
      <c r="R64" s="8">
        <f t="shared" si="19"/>
        <v>30.623455699956246</v>
      </c>
      <c r="S64" s="55">
        <f t="shared" si="20"/>
        <v>0.36344069891328118</v>
      </c>
      <c r="T64" s="51">
        <f>(T62+T66)/2</f>
        <v>950</v>
      </c>
      <c r="U64" s="8">
        <f t="shared" si="21"/>
        <v>33.814827840871864</v>
      </c>
      <c r="V64" s="8">
        <f t="shared" si="22"/>
        <v>0.40942515561307796</v>
      </c>
      <c r="W64" s="127">
        <f t="shared" si="23"/>
        <v>57.782306216995394</v>
      </c>
      <c r="X64" s="85">
        <f t="shared" si="24"/>
        <v>32.624426296334313</v>
      </c>
      <c r="Y64" s="113">
        <f t="shared" si="25"/>
        <v>28.608632418103369</v>
      </c>
      <c r="Z64" s="113">
        <f t="shared" si="25"/>
        <v>0.3343654430002187</v>
      </c>
      <c r="AA64" s="113">
        <f t="shared" si="25"/>
        <v>0.39251595482634372</v>
      </c>
      <c r="AB64" s="83"/>
      <c r="AC64" s="99" t="str">
        <f t="shared" si="26"/>
        <v>FAIL</v>
      </c>
      <c r="AD64" s="100" t="str">
        <f t="shared" si="27"/>
        <v>FAIL</v>
      </c>
      <c r="AE64" s="101"/>
    </row>
    <row r="65" spans="1:32" x14ac:dyDescent="0.2">
      <c r="A65" s="182">
        <v>2.8519999999999999</v>
      </c>
      <c r="B65" s="167">
        <v>202.72</v>
      </c>
      <c r="C65" s="168">
        <v>2993.7</v>
      </c>
      <c r="D65" s="167">
        <v>36.17</v>
      </c>
      <c r="E65" s="246">
        <f t="shared" si="14"/>
        <v>11.34</v>
      </c>
      <c r="F65" s="166">
        <v>11.335000000000001</v>
      </c>
      <c r="G65" s="185" t="str">
        <f t="shared" si="15"/>
        <v>OK</v>
      </c>
      <c r="H65" s="189">
        <f t="shared" si="16"/>
        <v>1490.8</v>
      </c>
      <c r="I65" s="167">
        <v>1490.7</v>
      </c>
      <c r="J65" s="185" t="str">
        <f t="shared" si="17"/>
        <v>OK</v>
      </c>
      <c r="K65" s="241">
        <f>ROUNDUP(((A65-0.1326)*(1000/9.8)*$C$56*3.28/$G$56)*(3500/C65)^2,2)</f>
        <v>23.040000000000003</v>
      </c>
      <c r="L65" s="167">
        <f>1252.47/54</f>
        <v>23.193888888888889</v>
      </c>
      <c r="M65" s="197" t="str">
        <f t="shared" si="12"/>
        <v>ALARM</v>
      </c>
      <c r="N65" s="201">
        <f t="shared" si="18"/>
        <v>0.45</v>
      </c>
      <c r="O65" s="166">
        <f>24.29/54</f>
        <v>0.44981481481481478</v>
      </c>
      <c r="P65" s="185" t="str">
        <f t="shared" si="13"/>
        <v>OK</v>
      </c>
      <c r="Q65" s="51">
        <f>(Q64+Q66)/2</f>
        <v>1075</v>
      </c>
      <c r="R65" s="8">
        <f t="shared" si="19"/>
        <v>29.130005821933786</v>
      </c>
      <c r="S65" s="55">
        <f t="shared" si="20"/>
        <v>0.37117844488166507</v>
      </c>
      <c r="T65" s="51">
        <f>(T64+T66)/2</f>
        <v>1075</v>
      </c>
      <c r="U65" s="8">
        <f t="shared" si="21"/>
        <v>32.098017238535441</v>
      </c>
      <c r="V65" s="8">
        <f t="shared" si="22"/>
        <v>0.42230484685796316</v>
      </c>
      <c r="W65" s="127">
        <f t="shared" si="23"/>
        <v>60.17266030318271</v>
      </c>
      <c r="X65" s="85">
        <f t="shared" si="24"/>
        <v>31.325811230879737</v>
      </c>
      <c r="Y65" s="113">
        <f t="shared" si="25"/>
        <v>26.903546098432454</v>
      </c>
      <c r="Z65" s="113">
        <f t="shared" si="25"/>
        <v>0.3414841692911319</v>
      </c>
      <c r="AA65" s="113">
        <f t="shared" si="25"/>
        <v>0.4008727204721983</v>
      </c>
      <c r="AB65" s="83"/>
      <c r="AC65" s="99" t="str">
        <f t="shared" si="26"/>
        <v>FAIL</v>
      </c>
      <c r="AD65" s="100" t="str">
        <f t="shared" si="27"/>
        <v>FAIL</v>
      </c>
      <c r="AE65" s="101"/>
    </row>
    <row r="66" spans="1:32" x14ac:dyDescent="0.2">
      <c r="A66" s="182">
        <v>2.3450000000000002</v>
      </c>
      <c r="B66" s="167">
        <v>221.04</v>
      </c>
      <c r="C66" s="168">
        <v>2995</v>
      </c>
      <c r="D66" s="167">
        <v>36.76</v>
      </c>
      <c r="E66" s="246">
        <f t="shared" si="14"/>
        <v>11.53</v>
      </c>
      <c r="F66" s="166">
        <v>11.526999999999999</v>
      </c>
      <c r="G66" s="185" t="str">
        <f t="shared" si="15"/>
        <v>OK</v>
      </c>
      <c r="H66" s="190">
        <f t="shared" si="16"/>
        <v>1624.8</v>
      </c>
      <c r="I66" s="167">
        <v>1624.74</v>
      </c>
      <c r="J66" s="185" t="str">
        <f t="shared" si="17"/>
        <v>OK</v>
      </c>
      <c r="K66" s="242">
        <f>ROUNDUP(((A66-0.13176)*(1000/9.8)*$C$56*3.28/$G$56)*(3500/C66)^2,2)</f>
        <v>18.740000000000002</v>
      </c>
      <c r="L66" s="167">
        <f>1020.14/54</f>
        <v>18.891481481481481</v>
      </c>
      <c r="M66" s="197" t="str">
        <f t="shared" si="12"/>
        <v>ALARM</v>
      </c>
      <c r="N66" s="200">
        <f t="shared" si="18"/>
        <v>0.45700000000000002</v>
      </c>
      <c r="O66" s="166">
        <f>24.669/54</f>
        <v>0.45683333333333337</v>
      </c>
      <c r="P66" s="185" t="str">
        <f t="shared" si="13"/>
        <v>OK</v>
      </c>
      <c r="Q66" s="61">
        <f>$F$3</f>
        <v>1200</v>
      </c>
      <c r="R66" s="41">
        <f t="shared" si="19"/>
        <v>27.062060604799996</v>
      </c>
      <c r="S66" s="54">
        <f t="shared" si="20"/>
        <v>0.37581834079999993</v>
      </c>
      <c r="T66" s="61">
        <f>$F$3</f>
        <v>1200</v>
      </c>
      <c r="U66" s="41">
        <f t="shared" si="21"/>
        <v>29.903932787200006</v>
      </c>
      <c r="V66" s="41">
        <f t="shared" si="22"/>
        <v>0.43184078700799983</v>
      </c>
      <c r="W66" s="94">
        <f t="shared" si="23"/>
        <v>61.196206797099919</v>
      </c>
      <c r="X66" s="84">
        <f t="shared" si="24"/>
        <v>29.542132025608542</v>
      </c>
      <c r="Y66" s="112">
        <f t="shared" si="25"/>
        <v>24.533748216213777</v>
      </c>
      <c r="Z66" s="112">
        <f t="shared" si="25"/>
        <v>0.34575287353599993</v>
      </c>
      <c r="AA66" s="112">
        <f t="shared" si="25"/>
        <v>0.40588380806399993</v>
      </c>
      <c r="AB66" s="90">
        <f>0.9*I3</f>
        <v>57.278896193482765</v>
      </c>
      <c r="AC66" s="120" t="str">
        <f t="shared" si="26"/>
        <v>FAIL</v>
      </c>
      <c r="AD66" s="121" t="str">
        <f t="shared" si="27"/>
        <v>FAIL</v>
      </c>
      <c r="AE66" s="122" t="str">
        <f>IF(W66&lt;AB66,"FAIL","PASS")</f>
        <v>PASS</v>
      </c>
      <c r="AF66" s="123" t="s">
        <v>96</v>
      </c>
    </row>
    <row r="67" spans="1:32" x14ac:dyDescent="0.2">
      <c r="A67" s="182">
        <v>3.2000000000000001E-2</v>
      </c>
      <c r="B67" s="167">
        <v>286.02</v>
      </c>
      <c r="C67" s="168">
        <v>2995.5</v>
      </c>
      <c r="D67" s="167">
        <v>43.02</v>
      </c>
      <c r="E67" s="246">
        <f t="shared" si="14"/>
        <v>13.494999999999999</v>
      </c>
      <c r="F67" s="166">
        <v>13.491</v>
      </c>
      <c r="G67" s="185" t="str">
        <f t="shared" si="15"/>
        <v>OK</v>
      </c>
      <c r="H67" s="189">
        <f t="shared" si="16"/>
        <v>2102</v>
      </c>
      <c r="I67" s="167">
        <v>2102.02</v>
      </c>
      <c r="J67" s="185" t="str">
        <f t="shared" si="17"/>
        <v>OK</v>
      </c>
      <c r="K67" s="241">
        <f>ROUNDUP(((A67-0.03199)*(1000/9.8)*$C$56*3.28/$G$56)*(3500/C67)^2,2)</f>
        <v>0.01</v>
      </c>
      <c r="L67" s="167">
        <f>8.96/54</f>
        <v>0.16592592592592595</v>
      </c>
      <c r="M67" s="197" t="str">
        <f t="shared" si="12"/>
        <v>ALARM</v>
      </c>
      <c r="N67" s="201">
        <f t="shared" si="18"/>
        <v>0.53500000000000003</v>
      </c>
      <c r="O67" s="166">
        <f>28.859/54</f>
        <v>0.53442592592592597</v>
      </c>
      <c r="P67" s="185" t="str">
        <f t="shared" si="13"/>
        <v>OK</v>
      </c>
      <c r="Q67" s="51">
        <f>(Q66+Q68)/2</f>
        <v>1325</v>
      </c>
      <c r="R67" s="8">
        <f t="shared" si="19"/>
        <v>24.285252983369322</v>
      </c>
      <c r="S67" s="55">
        <f t="shared" si="20"/>
        <v>0.37764609578083502</v>
      </c>
      <c r="T67" s="51">
        <f>(T66+T68)/2</f>
        <v>1325</v>
      </c>
      <c r="U67" s="8">
        <f t="shared" si="21"/>
        <v>27.236967817309861</v>
      </c>
      <c r="V67" s="8">
        <f t="shared" si="22"/>
        <v>0.43922571408381783</v>
      </c>
      <c r="W67" s="127">
        <f t="shared" si="23"/>
        <v>60.509767838283224</v>
      </c>
      <c r="X67" s="85">
        <f t="shared" si="24"/>
        <v>27.145156287766291</v>
      </c>
      <c r="Y67" s="113">
        <f t="shared" si="25"/>
        <v>21.36421205431725</v>
      </c>
      <c r="Z67" s="113">
        <f t="shared" si="25"/>
        <v>0.34743440811836823</v>
      </c>
      <c r="AA67" s="113">
        <f t="shared" si="25"/>
        <v>0.40785778344330187</v>
      </c>
      <c r="AB67" s="83"/>
      <c r="AC67" s="99" t="str">
        <f t="shared" si="26"/>
        <v>FAIL</v>
      </c>
      <c r="AD67" s="100" t="str">
        <f t="shared" si="27"/>
        <v>FAIL</v>
      </c>
      <c r="AE67" s="101"/>
    </row>
    <row r="68" spans="1:32" x14ac:dyDescent="0.2">
      <c r="A68" s="182"/>
      <c r="B68" s="167"/>
      <c r="C68" s="168"/>
      <c r="D68" s="167"/>
      <c r="E68" s="233"/>
      <c r="F68" s="166"/>
      <c r="G68" s="185"/>
      <c r="H68" s="189"/>
      <c r="I68" s="167"/>
      <c r="J68" s="185"/>
      <c r="K68" s="146"/>
      <c r="L68" s="167"/>
      <c r="M68" s="197"/>
      <c r="N68" s="201"/>
      <c r="O68" s="166"/>
      <c r="P68" s="185"/>
      <c r="Q68" s="51">
        <f>(Q66+Q70)/2</f>
        <v>1450</v>
      </c>
      <c r="R68" s="8">
        <f t="shared" si="19"/>
        <v>20.694814290893756</v>
      </c>
      <c r="S68" s="55">
        <f t="shared" si="20"/>
        <v>0.37713313768671869</v>
      </c>
      <c r="T68" s="51">
        <f>(T66+T70)/2</f>
        <v>1450</v>
      </c>
      <c r="U68" s="8">
        <f t="shared" si="21"/>
        <v>24.106728686653131</v>
      </c>
      <c r="V68" s="8">
        <f t="shared" si="22"/>
        <v>0.44595827821542172</v>
      </c>
      <c r="W68" s="127">
        <f t="shared" si="23"/>
        <v>57.723234755340712</v>
      </c>
      <c r="X68" s="85">
        <f t="shared" si="24"/>
        <v>24.025021888316367</v>
      </c>
      <c r="Y68" s="113">
        <f t="shared" si="25"/>
        <v>17.303463796679726</v>
      </c>
      <c r="Z68" s="113">
        <f t="shared" si="25"/>
        <v>0.3469624866717812</v>
      </c>
      <c r="AA68" s="113">
        <f t="shared" si="25"/>
        <v>0.40730378870165623</v>
      </c>
      <c r="AB68" s="83"/>
      <c r="AC68" s="99" t="str">
        <f t="shared" si="26"/>
        <v>FAIL</v>
      </c>
      <c r="AD68" s="100" t="str">
        <f t="shared" si="27"/>
        <v>FAIL</v>
      </c>
      <c r="AE68" s="101"/>
    </row>
    <row r="69" spans="1:32" x14ac:dyDescent="0.2">
      <c r="A69" s="182"/>
      <c r="B69" s="167"/>
      <c r="C69" s="168"/>
      <c r="D69" s="167"/>
      <c r="E69" s="233"/>
      <c r="F69" s="166"/>
      <c r="G69" s="185"/>
      <c r="H69" s="189"/>
      <c r="I69" s="167"/>
      <c r="J69" s="185"/>
      <c r="K69" s="146"/>
      <c r="L69" s="167"/>
      <c r="M69" s="197"/>
      <c r="N69" s="201"/>
      <c r="O69" s="166"/>
      <c r="P69" s="185"/>
      <c r="Q69" s="51">
        <f>(Q68+Q70)/2</f>
        <v>1575</v>
      </c>
      <c r="R69" s="8">
        <f t="shared" si="19"/>
        <v>16.232487857695538</v>
      </c>
      <c r="S69" s="55">
        <f t="shared" si="20"/>
        <v>0.37488991208039563</v>
      </c>
      <c r="T69" s="51">
        <f>(T68+T70)/2</f>
        <v>1575</v>
      </c>
      <c r="U69" s="8">
        <f t="shared" si="21"/>
        <v>20.521965969326455</v>
      </c>
      <c r="V69" s="8">
        <f t="shared" si="22"/>
        <v>0.45371411763096114</v>
      </c>
      <c r="W69" s="127">
        <f t="shared" si="23"/>
        <v>52.463328019308442</v>
      </c>
      <c r="X69" s="85">
        <f t="shared" si="24"/>
        <v>20.103978753156863</v>
      </c>
      <c r="Y69" s="113">
        <f t="shared" si="25"/>
        <v>12.324089716691173</v>
      </c>
      <c r="Z69" s="113">
        <f t="shared" si="25"/>
        <v>0.34489871911396397</v>
      </c>
      <c r="AA69" s="113">
        <f t="shared" si="25"/>
        <v>0.40488110504682728</v>
      </c>
      <c r="AB69" s="83"/>
      <c r="AC69" s="99" t="str">
        <f t="shared" si="26"/>
        <v>FAIL</v>
      </c>
      <c r="AD69" s="100" t="str">
        <f t="shared" si="27"/>
        <v>FAIL</v>
      </c>
      <c r="AE69" s="101"/>
    </row>
    <row r="70" spans="1:32" x14ac:dyDescent="0.2">
      <c r="A70" s="182"/>
      <c r="B70" s="167"/>
      <c r="C70" s="168"/>
      <c r="D70" s="167"/>
      <c r="E70" s="233"/>
      <c r="F70" s="166"/>
      <c r="G70" s="185"/>
      <c r="H70" s="190"/>
      <c r="I70" s="167"/>
      <c r="J70" s="185"/>
      <c r="K70" s="192"/>
      <c r="L70" s="167"/>
      <c r="M70" s="197"/>
      <c r="N70" s="200"/>
      <c r="O70" s="166"/>
      <c r="P70" s="185"/>
      <c r="Q70" s="61">
        <f>$J$3</f>
        <v>1700</v>
      </c>
      <c r="R70" s="41">
        <f t="shared" si="19"/>
        <v>10.90344260980001</v>
      </c>
      <c r="S70" s="54">
        <f t="shared" si="20"/>
        <v>0.37161918117500009</v>
      </c>
      <c r="T70" s="61">
        <f>$J$3</f>
        <v>1700</v>
      </c>
      <c r="U70" s="41">
        <f t="shared" si="21"/>
        <v>16.4845056447</v>
      </c>
      <c r="V70" s="41">
        <f t="shared" si="22"/>
        <v>0.46421693464549935</v>
      </c>
      <c r="W70" s="94">
        <f t="shared" si="23"/>
        <v>44.457238002647777</v>
      </c>
      <c r="X70" s="84">
        <f t="shared" si="24"/>
        <v>15.350130654337521</v>
      </c>
      <c r="Y70" s="112">
        <f t="shared" si="25"/>
        <v>6.4832433655806634</v>
      </c>
      <c r="Z70" s="112">
        <f t="shared" si="25"/>
        <v>0.34188964668100008</v>
      </c>
      <c r="AA70" s="112">
        <f t="shared" si="25"/>
        <v>0.4013487156690001</v>
      </c>
      <c r="AB70" s="83"/>
      <c r="AC70" s="120" t="str">
        <f t="shared" si="26"/>
        <v>FAIL</v>
      </c>
      <c r="AD70" s="121" t="str">
        <f t="shared" si="27"/>
        <v>FAIL</v>
      </c>
      <c r="AE70" s="101"/>
      <c r="AF70" s="209" t="s">
        <v>97</v>
      </c>
    </row>
    <row r="71" spans="1:32" x14ac:dyDescent="0.2">
      <c r="A71" s="182"/>
      <c r="B71" s="167"/>
      <c r="C71" s="168"/>
      <c r="D71" s="167"/>
      <c r="E71" s="233"/>
      <c r="F71" s="166"/>
      <c r="G71" s="185"/>
      <c r="H71" s="208"/>
      <c r="I71" s="167"/>
      <c r="J71" s="185"/>
      <c r="K71" s="145"/>
      <c r="L71" s="167"/>
      <c r="M71" s="197"/>
      <c r="N71" s="201"/>
      <c r="O71" s="166"/>
      <c r="P71" s="185"/>
      <c r="Q71" s="51">
        <f>(Q70+Q72)/2</f>
        <v>1800</v>
      </c>
      <c r="R71" s="8">
        <f t="shared" si="19"/>
        <v>6.0704990191999997</v>
      </c>
      <c r="S71" s="55">
        <f t="shared" si="20"/>
        <v>0.3687653623999998</v>
      </c>
      <c r="T71" s="51">
        <f>(T70+T72)/2</f>
        <v>1800</v>
      </c>
      <c r="U71" s="8">
        <f t="shared" si="21"/>
        <v>12.921682148800013</v>
      </c>
      <c r="V71" s="8">
        <f t="shared" si="22"/>
        <v>0.47570701131199955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5" thickBot="1" x14ac:dyDescent="0.25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19"/>
        <v>0.82352819660003718</v>
      </c>
      <c r="S72" s="62">
        <f t="shared" si="20"/>
        <v>0.36611774412499992</v>
      </c>
      <c r="T72" s="56">
        <f>$N$3</f>
        <v>1900</v>
      </c>
      <c r="U72" s="57">
        <f t="shared" si="21"/>
        <v>9.0481290848999905</v>
      </c>
      <c r="V72" s="57">
        <f t="shared" si="22"/>
        <v>0.490761008308499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5:C5"/>
    <mergeCell ref="D5:I5"/>
    <mergeCell ref="AA5:AD5"/>
    <mergeCell ref="A1:N1"/>
    <mergeCell ref="O1:T1"/>
    <mergeCell ref="U1:Z1"/>
    <mergeCell ref="AA2:AF2"/>
    <mergeCell ref="A4:N4"/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G32" sqref="G32"/>
    </sheetView>
  </sheetViews>
  <sheetFormatPr defaultRowHeight="12.75" x14ac:dyDescent="0.2"/>
  <cols>
    <col min="7" max="9" width="12" bestFit="1" customWidth="1"/>
    <col min="13" max="13" width="12" bestFit="1" customWidth="1"/>
    <col min="17" max="17" width="12" bestFit="1" customWidth="1"/>
    <col min="21" max="21" width="12" bestFit="1" customWidth="1"/>
    <col min="25" max="25" width="12" bestFit="1" customWidth="1"/>
  </cols>
  <sheetData>
    <row r="1" spans="1:25" ht="13.5" thickBot="1" x14ac:dyDescent="0.25">
      <c r="J1" s="355" t="s">
        <v>165</v>
      </c>
      <c r="K1" s="356"/>
      <c r="L1" s="356"/>
      <c r="M1" s="361"/>
      <c r="N1" s="355" t="s">
        <v>166</v>
      </c>
      <c r="O1" s="356"/>
      <c r="P1" s="356"/>
      <c r="Q1" s="361"/>
      <c r="R1" s="355" t="s">
        <v>167</v>
      </c>
      <c r="S1" s="356"/>
      <c r="T1" s="356"/>
      <c r="U1" s="357"/>
      <c r="V1" s="349" t="s">
        <v>191</v>
      </c>
      <c r="W1" s="350"/>
      <c r="X1" s="350"/>
      <c r="Y1" s="351"/>
    </row>
    <row r="2" spans="1:25" ht="13.5" thickBot="1" x14ac:dyDescent="0.25">
      <c r="A2" s="349" t="s">
        <v>76</v>
      </c>
      <c r="B2" s="350"/>
      <c r="C2" s="350"/>
      <c r="D2" s="351"/>
      <c r="E2" s="360"/>
      <c r="F2" s="360"/>
      <c r="G2" s="360"/>
      <c r="H2" s="360"/>
      <c r="I2" s="360"/>
      <c r="J2" s="352" t="s">
        <v>90</v>
      </c>
      <c r="K2" s="353"/>
      <c r="L2" s="353"/>
      <c r="M2" s="354"/>
      <c r="N2" s="352" t="s">
        <v>90</v>
      </c>
      <c r="O2" s="353"/>
      <c r="P2" s="353"/>
      <c r="Q2" s="354"/>
      <c r="R2" s="352" t="s">
        <v>90</v>
      </c>
      <c r="S2" s="353"/>
      <c r="T2" s="353"/>
      <c r="U2" s="358"/>
      <c r="V2" s="352" t="s">
        <v>90</v>
      </c>
      <c r="W2" s="353"/>
      <c r="X2" s="353"/>
      <c r="Y2" s="354"/>
    </row>
    <row r="3" spans="1:25" x14ac:dyDescent="0.2">
      <c r="A3" s="352" t="s">
        <v>87</v>
      </c>
      <c r="B3" s="353"/>
      <c r="C3" s="353"/>
      <c r="D3" s="354"/>
      <c r="E3" s="304" t="s">
        <v>77</v>
      </c>
      <c r="F3" s="350"/>
      <c r="G3" s="350"/>
      <c r="H3" s="350"/>
      <c r="I3" s="359"/>
      <c r="J3" s="352" t="s">
        <v>87</v>
      </c>
      <c r="K3" s="353"/>
      <c r="L3" s="353"/>
      <c r="M3" s="354"/>
      <c r="N3" s="352" t="s">
        <v>87</v>
      </c>
      <c r="O3" s="353"/>
      <c r="P3" s="353"/>
      <c r="Q3" s="354"/>
      <c r="R3" s="352" t="s">
        <v>87</v>
      </c>
      <c r="S3" s="353"/>
      <c r="T3" s="353"/>
      <c r="U3" s="358"/>
      <c r="V3" s="352" t="s">
        <v>87</v>
      </c>
      <c r="W3" s="353"/>
      <c r="X3" s="353"/>
      <c r="Y3" s="354"/>
    </row>
    <row r="4" spans="1:25" s="150" customFormat="1" x14ac:dyDescent="0.2">
      <c r="A4" s="212" t="s">
        <v>70</v>
      </c>
      <c r="B4" s="211" t="s">
        <v>72</v>
      </c>
      <c r="C4" s="211" t="s">
        <v>74</v>
      </c>
      <c r="D4" s="213" t="s">
        <v>135</v>
      </c>
      <c r="E4" s="225" t="s">
        <v>81</v>
      </c>
      <c r="F4" s="210" t="s">
        <v>79</v>
      </c>
      <c r="G4" s="210" t="s">
        <v>82</v>
      </c>
      <c r="H4" s="210" t="s">
        <v>83</v>
      </c>
      <c r="I4" s="214" t="s">
        <v>91</v>
      </c>
      <c r="J4" s="212" t="s">
        <v>70</v>
      </c>
      <c r="K4" s="210" t="s">
        <v>72</v>
      </c>
      <c r="L4" s="210" t="s">
        <v>74</v>
      </c>
      <c r="M4" s="213" t="s">
        <v>93</v>
      </c>
      <c r="N4" s="212" t="s">
        <v>70</v>
      </c>
      <c r="O4" s="210" t="s">
        <v>72</v>
      </c>
      <c r="P4" s="210" t="s">
        <v>74</v>
      </c>
      <c r="Q4" s="213" t="s">
        <v>93</v>
      </c>
      <c r="R4" s="212" t="s">
        <v>70</v>
      </c>
      <c r="S4" s="210" t="s">
        <v>72</v>
      </c>
      <c r="T4" s="210" t="s">
        <v>74</v>
      </c>
      <c r="U4" s="214" t="s">
        <v>93</v>
      </c>
      <c r="V4" s="51" t="s">
        <v>70</v>
      </c>
      <c r="W4" s="7" t="s">
        <v>72</v>
      </c>
      <c r="X4" s="7" t="s">
        <v>74</v>
      </c>
      <c r="Y4" s="52" t="s">
        <v>93</v>
      </c>
    </row>
    <row r="5" spans="1:25" s="150" customFormat="1" ht="13.5" thickBot="1" x14ac:dyDescent="0.25">
      <c r="A5" s="222" t="s">
        <v>71</v>
      </c>
      <c r="B5" s="223" t="s">
        <v>73</v>
      </c>
      <c r="C5" s="223" t="s">
        <v>75</v>
      </c>
      <c r="D5" s="224" t="s">
        <v>92</v>
      </c>
      <c r="E5" s="226" t="s">
        <v>73</v>
      </c>
      <c r="F5" s="218" t="s">
        <v>73</v>
      </c>
      <c r="G5" s="218" t="s">
        <v>75</v>
      </c>
      <c r="H5" s="218" t="s">
        <v>75</v>
      </c>
      <c r="I5" s="220" t="s">
        <v>92</v>
      </c>
      <c r="J5" s="217" t="s">
        <v>71</v>
      </c>
      <c r="K5" s="218" t="s">
        <v>73</v>
      </c>
      <c r="L5" s="218" t="s">
        <v>75</v>
      </c>
      <c r="M5" s="219" t="s">
        <v>92</v>
      </c>
      <c r="N5" s="222" t="s">
        <v>71</v>
      </c>
      <c r="O5" s="223" t="s">
        <v>73</v>
      </c>
      <c r="P5" s="223" t="s">
        <v>75</v>
      </c>
      <c r="Q5" s="224" t="s">
        <v>92</v>
      </c>
      <c r="R5" s="222" t="s">
        <v>71</v>
      </c>
      <c r="S5" s="223" t="s">
        <v>73</v>
      </c>
      <c r="T5" s="223" t="s">
        <v>75</v>
      </c>
      <c r="U5" s="252" t="s">
        <v>92</v>
      </c>
      <c r="V5" s="217" t="s">
        <v>71</v>
      </c>
      <c r="W5" s="218" t="s">
        <v>73</v>
      </c>
      <c r="X5" s="218" t="s">
        <v>75</v>
      </c>
      <c r="Y5" s="219" t="s">
        <v>92</v>
      </c>
    </row>
    <row r="6" spans="1:25" x14ac:dyDescent="0.2">
      <c r="A6" s="47">
        <v>0</v>
      </c>
      <c r="B6" s="49">
        <v>34.578919999999997</v>
      </c>
      <c r="C6" s="49">
        <v>0.25501099999999999</v>
      </c>
      <c r="D6" s="50"/>
      <c r="E6" s="227"/>
      <c r="F6" s="215"/>
      <c r="G6" s="215"/>
      <c r="H6" s="215"/>
      <c r="I6" s="216"/>
      <c r="J6" s="47">
        <v>0</v>
      </c>
      <c r="K6" s="49">
        <v>33.5443</v>
      </c>
      <c r="L6" s="49">
        <v>0.26505289999999998</v>
      </c>
      <c r="M6" s="221"/>
      <c r="N6" s="47">
        <v>0</v>
      </c>
      <c r="O6" s="49">
        <v>33.794460000000001</v>
      </c>
      <c r="P6" s="49">
        <v>0.28023160000000003</v>
      </c>
      <c r="Q6" s="221"/>
      <c r="R6" s="47">
        <v>0</v>
      </c>
      <c r="S6" s="49">
        <v>34.197009999999999</v>
      </c>
      <c r="T6" s="49">
        <v>0.24524750000000001</v>
      </c>
      <c r="U6" s="221"/>
      <c r="V6" s="253">
        <v>0</v>
      </c>
      <c r="W6" s="187">
        <v>36.152349999999998</v>
      </c>
      <c r="X6" s="187">
        <v>0.2451998</v>
      </c>
      <c r="Y6" s="254"/>
    </row>
    <row r="7" spans="1:25" x14ac:dyDescent="0.2">
      <c r="A7" s="51">
        <v>350</v>
      </c>
      <c r="B7" s="7">
        <v>34.024158746931249</v>
      </c>
      <c r="C7" s="7">
        <v>0.29064644929765621</v>
      </c>
      <c r="D7" s="52"/>
      <c r="E7" s="228"/>
      <c r="F7" s="7"/>
      <c r="G7" s="7"/>
      <c r="H7" s="7"/>
      <c r="I7" s="186"/>
      <c r="J7" s="51">
        <v>350</v>
      </c>
      <c r="K7" s="7">
        <v>34.090469574958433</v>
      </c>
      <c r="L7" s="7">
        <v>0.29691888783784059</v>
      </c>
      <c r="M7" s="186"/>
      <c r="N7" s="51">
        <v>350</v>
      </c>
      <c r="O7" s="7">
        <v>34.354900929337191</v>
      </c>
      <c r="P7" s="7">
        <v>0.31168362091631252</v>
      </c>
      <c r="Q7" s="186"/>
      <c r="R7" s="51">
        <v>350</v>
      </c>
      <c r="S7" s="7">
        <v>34.792623674945624</v>
      </c>
      <c r="T7" s="7">
        <v>0.28866802936928432</v>
      </c>
      <c r="U7" s="186"/>
      <c r="V7" s="51">
        <v>350</v>
      </c>
      <c r="W7" s="7">
        <v>36.251157285084368</v>
      </c>
      <c r="X7" s="7">
        <v>0.2962067484775156</v>
      </c>
      <c r="Y7" s="52"/>
    </row>
    <row r="8" spans="1:25" x14ac:dyDescent="0.2">
      <c r="A8" s="51">
        <v>700</v>
      </c>
      <c r="B8" s="7">
        <v>32.470848099800001</v>
      </c>
      <c r="C8" s="7">
        <v>0.33873762042499994</v>
      </c>
      <c r="D8" s="52"/>
      <c r="E8" s="228">
        <v>34.288794150098845</v>
      </c>
      <c r="F8" s="7">
        <v>30.659498613341036</v>
      </c>
      <c r="G8" s="7">
        <v>0.31163861079099997</v>
      </c>
      <c r="H8" s="7">
        <v>0.36583663005899997</v>
      </c>
      <c r="I8" s="186"/>
      <c r="J8" s="51">
        <v>700</v>
      </c>
      <c r="K8" s="7">
        <v>34.452738200669998</v>
      </c>
      <c r="L8" s="7">
        <v>0.38305715272089985</v>
      </c>
      <c r="M8" s="186">
        <v>46.365699494073226</v>
      </c>
      <c r="N8" s="51">
        <v>700</v>
      </c>
      <c r="O8" s="7">
        <v>34.51272253778999</v>
      </c>
      <c r="P8" s="7">
        <v>0.41060419946200011</v>
      </c>
      <c r="Q8" s="186">
        <v>43.330378377279239</v>
      </c>
      <c r="R8" s="51">
        <v>700</v>
      </c>
      <c r="S8" s="7">
        <v>34.410639725260005</v>
      </c>
      <c r="T8" s="7">
        <v>0.36714418788710002</v>
      </c>
      <c r="U8" s="186">
        <v>48.316196346253669</v>
      </c>
      <c r="V8" s="51">
        <v>700</v>
      </c>
      <c r="W8" s="7">
        <v>35.861532179700006</v>
      </c>
      <c r="X8" s="7">
        <v>0.37116667237049994</v>
      </c>
      <c r="Y8" s="52">
        <v>49.807703241300217</v>
      </c>
    </row>
    <row r="9" spans="1:25" x14ac:dyDescent="0.2">
      <c r="A9" s="51">
        <v>825</v>
      </c>
      <c r="B9" s="7">
        <v>31.689462103857611</v>
      </c>
      <c r="C9" s="7">
        <v>0.35255181358210447</v>
      </c>
      <c r="D9" s="52"/>
      <c r="E9" s="228">
        <v>33.570838087227592</v>
      </c>
      <c r="F9" s="7">
        <v>29.807079605037579</v>
      </c>
      <c r="G9" s="7">
        <v>0.32434766849553615</v>
      </c>
      <c r="H9" s="7">
        <v>0.38075595866867284</v>
      </c>
      <c r="I9" s="186"/>
      <c r="J9" s="51">
        <v>825</v>
      </c>
      <c r="K9" s="7">
        <v>34.047951952794271</v>
      </c>
      <c r="L9" s="7">
        <v>0.40544651062018461</v>
      </c>
      <c r="M9" s="186">
        <v>51.02111944342321</v>
      </c>
      <c r="N9" s="51">
        <v>825</v>
      </c>
      <c r="O9" s="7">
        <v>34.119181002032434</v>
      </c>
      <c r="P9" s="7">
        <v>0.43340526125765438</v>
      </c>
      <c r="Q9" s="186">
        <v>47.829624966755716</v>
      </c>
      <c r="R9" s="51">
        <v>825</v>
      </c>
      <c r="S9" s="7">
        <v>33.668144460298578</v>
      </c>
      <c r="T9" s="7">
        <v>0.39024612351545207</v>
      </c>
      <c r="U9" s="186">
        <v>52.41711826406673</v>
      </c>
      <c r="V9" s="51">
        <v>825</v>
      </c>
      <c r="W9" s="7">
        <v>35.061253102143844</v>
      </c>
      <c r="X9" s="7">
        <v>0.39244381137331985</v>
      </c>
      <c r="Y9" s="52">
        <v>54.280333315092015</v>
      </c>
    </row>
    <row r="10" spans="1:25" x14ac:dyDescent="0.2">
      <c r="A10" s="51">
        <v>950</v>
      </c>
      <c r="B10" s="7">
        <v>30.623455699956246</v>
      </c>
      <c r="C10" s="7">
        <v>0.36344069891328118</v>
      </c>
      <c r="D10" s="52"/>
      <c r="E10" s="228">
        <v>32.624426296334313</v>
      </c>
      <c r="F10" s="7">
        <v>28.608632418103369</v>
      </c>
      <c r="G10" s="7">
        <v>0.3343654430002187</v>
      </c>
      <c r="H10" s="7">
        <v>0.39251595482634372</v>
      </c>
      <c r="I10" s="186"/>
      <c r="J10" s="51">
        <v>950</v>
      </c>
      <c r="K10" s="7">
        <v>33.119929532162196</v>
      </c>
      <c r="L10" s="7">
        <v>0.42110566331910304</v>
      </c>
      <c r="M10" s="186">
        <v>55.025061358872186</v>
      </c>
      <c r="N10" s="51">
        <v>950</v>
      </c>
      <c r="O10" s="7">
        <v>33.233779162375939</v>
      </c>
      <c r="P10" s="7">
        <v>0.44719898518856271</v>
      </c>
      <c r="Q10" s="186">
        <v>51.992551885418472</v>
      </c>
      <c r="R10" s="51">
        <v>950</v>
      </c>
      <c r="S10" s="7">
        <v>32.477391210088129</v>
      </c>
      <c r="T10" s="7">
        <v>0.40863031870452182</v>
      </c>
      <c r="U10" s="186">
        <v>55.604861569003297</v>
      </c>
      <c r="V10" s="51">
        <v>950</v>
      </c>
      <c r="W10" s="7">
        <v>33.814827840871864</v>
      </c>
      <c r="X10" s="7">
        <v>0.40942515561307796</v>
      </c>
      <c r="Y10" s="52">
        <v>57.782306216995394</v>
      </c>
    </row>
    <row r="11" spans="1:25" x14ac:dyDescent="0.2">
      <c r="A11" s="51">
        <v>1075</v>
      </c>
      <c r="B11" s="7">
        <v>29.130005821933786</v>
      </c>
      <c r="C11" s="7">
        <v>0.37117844488166507</v>
      </c>
      <c r="D11" s="52"/>
      <c r="E11" s="228">
        <v>31.325811230879737</v>
      </c>
      <c r="F11" s="7">
        <v>26.903546098432454</v>
      </c>
      <c r="G11" s="7">
        <v>0.3414841692911319</v>
      </c>
      <c r="H11" s="7">
        <v>0.4008727204721983</v>
      </c>
      <c r="I11" s="186"/>
      <c r="J11" s="51">
        <v>1075</v>
      </c>
      <c r="K11" s="7">
        <v>31.533916059611165</v>
      </c>
      <c r="L11" s="7">
        <v>0.43060220573135166</v>
      </c>
      <c r="M11" s="186">
        <v>57.976064254782131</v>
      </c>
      <c r="N11" s="51">
        <v>1075</v>
      </c>
      <c r="O11" s="7">
        <v>31.698514184140343</v>
      </c>
      <c r="P11" s="7">
        <v>0.45310429850326006</v>
      </c>
      <c r="Q11" s="186">
        <v>55.384443478933363</v>
      </c>
      <c r="R11" s="51">
        <v>1075</v>
      </c>
      <c r="S11" s="7">
        <v>30.777058731489007</v>
      </c>
      <c r="T11" s="7">
        <v>0.42213672079158976</v>
      </c>
      <c r="U11" s="186">
        <v>57.719299759470587</v>
      </c>
      <c r="V11" s="51">
        <v>1075</v>
      </c>
      <c r="W11" s="7">
        <v>32.098017238535441</v>
      </c>
      <c r="X11" s="7">
        <v>0.42230484685796316</v>
      </c>
      <c r="Y11" s="52">
        <v>60.17266030318271</v>
      </c>
    </row>
    <row r="12" spans="1:25" x14ac:dyDescent="0.2">
      <c r="A12" s="51">
        <v>1200</v>
      </c>
      <c r="B12" s="7">
        <v>27.062060604799996</v>
      </c>
      <c r="C12" s="7">
        <v>0.37581834079999993</v>
      </c>
      <c r="D12" s="52">
        <v>63.643217992758629</v>
      </c>
      <c r="E12" s="228">
        <v>29.542132025608542</v>
      </c>
      <c r="F12" s="7">
        <v>24.533748216213777</v>
      </c>
      <c r="G12" s="7">
        <v>0.34575287353599993</v>
      </c>
      <c r="H12" s="7">
        <v>0.40588380806399993</v>
      </c>
      <c r="I12" s="186">
        <v>57.278896193482765</v>
      </c>
      <c r="J12" s="51">
        <v>1200</v>
      </c>
      <c r="K12" s="7">
        <v>29.189825345919992</v>
      </c>
      <c r="L12" s="7">
        <v>0.43545836723839981</v>
      </c>
      <c r="M12" s="186">
        <v>59.238589736026597</v>
      </c>
      <c r="N12" s="51">
        <v>1200</v>
      </c>
      <c r="O12" s="7">
        <v>29.388394487040003</v>
      </c>
      <c r="P12" s="7">
        <v>0.45323777171200008</v>
      </c>
      <c r="Q12" s="186">
        <v>57.301978774655574</v>
      </c>
      <c r="R12" s="51">
        <v>1200</v>
      </c>
      <c r="S12" s="7">
        <v>28.526746389760003</v>
      </c>
      <c r="T12" s="7">
        <v>0.43126485416960003</v>
      </c>
      <c r="U12" s="186">
        <v>58.455856554866585</v>
      </c>
      <c r="V12" s="51">
        <v>1200</v>
      </c>
      <c r="W12" s="7">
        <v>29.903932787200006</v>
      </c>
      <c r="X12" s="7">
        <v>0.43184078700799983</v>
      </c>
      <c r="Y12" s="52">
        <v>61.196206797099919</v>
      </c>
    </row>
    <row r="13" spans="1:25" x14ac:dyDescent="0.2">
      <c r="A13" s="51">
        <v>1325</v>
      </c>
      <c r="B13" s="7">
        <v>24.285252983369322</v>
      </c>
      <c r="C13" s="7">
        <v>0.37764609578083502</v>
      </c>
      <c r="D13" s="52"/>
      <c r="E13" s="228">
        <v>27.145156287766291</v>
      </c>
      <c r="F13" s="7">
        <v>21.36421205431725</v>
      </c>
      <c r="G13" s="7">
        <v>0.34743440811836823</v>
      </c>
      <c r="H13" s="7">
        <v>0.40785778344330187</v>
      </c>
      <c r="I13" s="186"/>
      <c r="J13" s="51">
        <v>1325</v>
      </c>
      <c r="K13" s="7">
        <v>26.039336746056961</v>
      </c>
      <c r="L13" s="7">
        <v>0.43782897996341696</v>
      </c>
      <c r="M13" s="186">
        <v>58.033651898663898</v>
      </c>
      <c r="N13" s="51">
        <v>1325</v>
      </c>
      <c r="O13" s="7">
        <v>26.234995520330287</v>
      </c>
      <c r="P13" s="7">
        <v>0.45011474871370893</v>
      </c>
      <c r="Q13" s="186">
        <v>56.873798821070885</v>
      </c>
      <c r="R13" s="51">
        <v>1325</v>
      </c>
      <c r="S13" s="7">
        <v>25.712481670765371</v>
      </c>
      <c r="T13" s="7">
        <v>0.43706631734526641</v>
      </c>
      <c r="U13" s="186">
        <v>57.405187915034709</v>
      </c>
      <c r="V13" s="51">
        <v>1325</v>
      </c>
      <c r="W13" s="7">
        <v>27.236967817309861</v>
      </c>
      <c r="X13" s="7">
        <v>0.43922571408381783</v>
      </c>
      <c r="Y13" s="52">
        <v>60.509767838283224</v>
      </c>
    </row>
    <row r="14" spans="1:25" x14ac:dyDescent="0.2">
      <c r="A14" s="51">
        <v>1450</v>
      </c>
      <c r="B14" s="7">
        <v>20.694814290893756</v>
      </c>
      <c r="C14" s="7">
        <v>0.37713313768671869</v>
      </c>
      <c r="D14" s="52"/>
      <c r="E14" s="228">
        <v>24.025021888316367</v>
      </c>
      <c r="F14" s="7">
        <v>17.303463796679726</v>
      </c>
      <c r="G14" s="7">
        <v>0.3469624866717812</v>
      </c>
      <c r="H14" s="7">
        <v>0.40730378870165623</v>
      </c>
      <c r="I14" s="186"/>
      <c r="J14" s="51">
        <v>1450</v>
      </c>
      <c r="K14" s="7">
        <v>22.102992013427802</v>
      </c>
      <c r="L14" s="7">
        <v>0.44017944704519685</v>
      </c>
      <c r="M14" s="186">
        <v>53.620136690235434</v>
      </c>
      <c r="N14" s="51">
        <v>1450</v>
      </c>
      <c r="O14" s="7">
        <v>22.250015537954063</v>
      </c>
      <c r="P14" s="7">
        <v>0.44605047692293742</v>
      </c>
      <c r="Q14" s="186">
        <v>53.266347873823293</v>
      </c>
      <c r="R14" s="51">
        <v>1450</v>
      </c>
      <c r="S14" s="7">
        <v>22.352227693181874</v>
      </c>
      <c r="T14" s="7">
        <v>0.44103727999717834</v>
      </c>
      <c r="U14" s="186">
        <v>54.119293969891842</v>
      </c>
      <c r="V14" s="51">
        <v>1450</v>
      </c>
      <c r="W14" s="7">
        <v>24.106728686653131</v>
      </c>
      <c r="X14" s="7">
        <v>0.44595827821542172</v>
      </c>
      <c r="Y14" s="52">
        <v>57.723234755340712</v>
      </c>
    </row>
    <row r="15" spans="1:25" x14ac:dyDescent="0.2">
      <c r="A15" s="51">
        <v>1575</v>
      </c>
      <c r="B15" s="7">
        <v>16.232487857695538</v>
      </c>
      <c r="C15" s="7">
        <v>0.37488991208039563</v>
      </c>
      <c r="D15" s="52"/>
      <c r="E15" s="228">
        <v>20.103978753156863</v>
      </c>
      <c r="F15" s="7">
        <v>12.324089716691173</v>
      </c>
      <c r="G15" s="7">
        <v>0.34489871911396397</v>
      </c>
      <c r="H15" s="7">
        <v>0.40488110504682728</v>
      </c>
      <c r="I15" s="186"/>
      <c r="J15" s="51">
        <v>1575</v>
      </c>
      <c r="K15" s="7">
        <v>17.487292154123864</v>
      </c>
      <c r="L15" s="7">
        <v>0.44496371091208387</v>
      </c>
      <c r="M15" s="186">
        <v>45.584494028872562</v>
      </c>
      <c r="N15" s="51">
        <v>1575</v>
      </c>
      <c r="O15" s="7">
        <v>17.548831373688209</v>
      </c>
      <c r="P15" s="7">
        <v>0.4425612373968153</v>
      </c>
      <c r="Q15" s="186">
        <v>45.993238939077095</v>
      </c>
      <c r="R15" s="51">
        <v>1575</v>
      </c>
      <c r="S15" s="7">
        <v>18.501390720705793</v>
      </c>
      <c r="T15" s="7">
        <v>0.44501098003390405</v>
      </c>
      <c r="U15" s="186">
        <v>48.222843413423192</v>
      </c>
      <c r="V15" s="51">
        <v>1575</v>
      </c>
      <c r="W15" s="7">
        <v>20.521965969326455</v>
      </c>
      <c r="X15" s="7">
        <v>0.45371411763096114</v>
      </c>
      <c r="Y15" s="52">
        <v>52.463328019308442</v>
      </c>
    </row>
    <row r="16" spans="1:25" x14ac:dyDescent="0.2">
      <c r="A16" s="51">
        <v>1700</v>
      </c>
      <c r="B16" s="7">
        <v>10.90344260980001</v>
      </c>
      <c r="C16" s="7">
        <v>0.37161918117500009</v>
      </c>
      <c r="D16" s="52"/>
      <c r="E16" s="228">
        <v>15.350130654337521</v>
      </c>
      <c r="F16" s="7">
        <v>6.4832433655806634</v>
      </c>
      <c r="G16" s="7">
        <v>0.34188964668100008</v>
      </c>
      <c r="H16" s="7">
        <v>0.4013487156690001</v>
      </c>
      <c r="I16" s="186"/>
      <c r="J16" s="51">
        <v>1700</v>
      </c>
      <c r="K16" s="7">
        <v>12.401794281169998</v>
      </c>
      <c r="L16" s="7">
        <v>0.45430222155589961</v>
      </c>
      <c r="M16" s="186">
        <v>34.176469107704904</v>
      </c>
      <c r="N16" s="51">
        <v>1700</v>
      </c>
      <c r="O16" s="7">
        <v>12.37405421629002</v>
      </c>
      <c r="P16" s="7">
        <v>0.43976547496200036</v>
      </c>
      <c r="Q16" s="186">
        <v>35.22722338329006</v>
      </c>
      <c r="R16" s="51">
        <v>1700</v>
      </c>
      <c r="S16" s="7">
        <v>14.258327674259998</v>
      </c>
      <c r="T16" s="7">
        <v>0.45105022065209949</v>
      </c>
      <c r="U16" s="186">
        <v>39.575938381996416</v>
      </c>
      <c r="V16" s="51">
        <v>1700</v>
      </c>
      <c r="W16" s="7">
        <v>16.4845056447</v>
      </c>
      <c r="X16" s="7">
        <v>0.46421693464549935</v>
      </c>
      <c r="Y16" s="52">
        <v>44.457238002647777</v>
      </c>
    </row>
    <row r="17" spans="1:25" x14ac:dyDescent="0.2">
      <c r="A17" s="51">
        <v>1800</v>
      </c>
      <c r="B17" s="7">
        <v>6.0704990191999997</v>
      </c>
      <c r="C17" s="7">
        <v>0.3687653623999998</v>
      </c>
      <c r="D17" s="52"/>
      <c r="E17" s="228"/>
      <c r="F17" s="7"/>
      <c r="G17" s="7"/>
      <c r="H17" s="7"/>
      <c r="I17" s="186"/>
      <c r="J17" s="51">
        <v>1800</v>
      </c>
      <c r="K17" s="7">
        <v>8.2122328580799859</v>
      </c>
      <c r="L17" s="7">
        <v>0.4660667669216001</v>
      </c>
      <c r="M17" s="186"/>
      <c r="N17" s="51">
        <v>1800</v>
      </c>
      <c r="O17" s="7">
        <v>8.1519431529600013</v>
      </c>
      <c r="P17" s="7">
        <v>0.43684835900800234</v>
      </c>
      <c r="Q17" s="186"/>
      <c r="R17" s="51">
        <v>1800</v>
      </c>
      <c r="S17" s="7">
        <v>10.678365370240002</v>
      </c>
      <c r="T17" s="7">
        <v>0.45883567591039998</v>
      </c>
      <c r="U17" s="186"/>
      <c r="V17" s="51">
        <v>1800</v>
      </c>
      <c r="W17" s="7">
        <v>12.921682148800013</v>
      </c>
      <c r="X17" s="7">
        <v>0.47570701131199955</v>
      </c>
      <c r="Y17" s="52"/>
    </row>
    <row r="18" spans="1:25" ht="13.5" thickBot="1" x14ac:dyDescent="0.25">
      <c r="A18" s="56">
        <v>1900</v>
      </c>
      <c r="B18" s="58">
        <v>0.82352819660003718</v>
      </c>
      <c r="C18" s="58">
        <v>0.36611774412499992</v>
      </c>
      <c r="D18" s="59"/>
      <c r="E18" s="229"/>
      <c r="F18" s="58"/>
      <c r="G18" s="58"/>
      <c r="H18" s="58"/>
      <c r="I18" s="180"/>
      <c r="J18" s="56">
        <v>1900</v>
      </c>
      <c r="K18" s="58">
        <v>4.1616484071899862</v>
      </c>
      <c r="L18" s="58">
        <v>0.48201677532129938</v>
      </c>
      <c r="M18" s="180"/>
      <c r="N18" s="56">
        <v>1900</v>
      </c>
      <c r="O18" s="58">
        <v>4.1558365950299958</v>
      </c>
      <c r="P18" s="58">
        <v>0.4310927009740011</v>
      </c>
      <c r="Q18" s="180"/>
      <c r="R18" s="56">
        <v>1900</v>
      </c>
      <c r="S18" s="58">
        <v>7.0400868218199975</v>
      </c>
      <c r="T18" s="58">
        <v>0.47047142541469944</v>
      </c>
      <c r="U18" s="180"/>
      <c r="V18" s="56">
        <v>1900</v>
      </c>
      <c r="W18" s="58">
        <v>9.0481290848999905</v>
      </c>
      <c r="X18" s="58">
        <v>0.490761008308499</v>
      </c>
      <c r="Y18" s="59"/>
    </row>
    <row r="20" spans="1:25" x14ac:dyDescent="0.2">
      <c r="A20" s="70" t="s">
        <v>98</v>
      </c>
      <c r="B20" s="70"/>
      <c r="C20" s="70"/>
      <c r="D20" s="70"/>
      <c r="E20" s="70"/>
    </row>
    <row r="21" spans="1:25" x14ac:dyDescent="0.2">
      <c r="A21" s="6">
        <v>700</v>
      </c>
      <c r="B21">
        <v>0</v>
      </c>
      <c r="C21">
        <v>0</v>
      </c>
      <c r="E21">
        <v>0</v>
      </c>
      <c r="G21" t="s">
        <v>168</v>
      </c>
      <c r="I21" t="s">
        <v>170</v>
      </c>
    </row>
    <row r="22" spans="1:25" x14ac:dyDescent="0.2">
      <c r="A22" s="6">
        <v>700</v>
      </c>
      <c r="B22">
        <v>40</v>
      </c>
      <c r="C22">
        <v>0.7</v>
      </c>
      <c r="E22">
        <v>70</v>
      </c>
      <c r="G22" t="s">
        <v>172</v>
      </c>
      <c r="I22" t="s">
        <v>174</v>
      </c>
    </row>
    <row r="23" spans="1:25" x14ac:dyDescent="0.2">
      <c r="A23" s="130" t="s">
        <v>96</v>
      </c>
      <c r="B23" s="130"/>
      <c r="C23" s="130"/>
      <c r="D23" s="130"/>
      <c r="E23" s="130"/>
      <c r="G23" t="s">
        <v>176</v>
      </c>
      <c r="I23" t="s">
        <v>178</v>
      </c>
    </row>
    <row r="24" spans="1:25" x14ac:dyDescent="0.2">
      <c r="A24" s="131">
        <v>1200</v>
      </c>
      <c r="B24" s="130">
        <v>0</v>
      </c>
      <c r="C24" s="130">
        <v>0</v>
      </c>
      <c r="D24" s="130"/>
      <c r="E24" s="130">
        <v>0</v>
      </c>
      <c r="G24" t="s">
        <v>169</v>
      </c>
      <c r="I24" t="s">
        <v>171</v>
      </c>
    </row>
    <row r="25" spans="1:25" x14ac:dyDescent="0.2">
      <c r="A25" s="131">
        <v>1200</v>
      </c>
      <c r="B25" s="130">
        <v>40</v>
      </c>
      <c r="C25" s="130">
        <v>0.7</v>
      </c>
      <c r="D25" s="130"/>
      <c r="E25" s="130">
        <v>70</v>
      </c>
      <c r="G25" t="s">
        <v>173</v>
      </c>
      <c r="I25" t="s">
        <v>175</v>
      </c>
    </row>
    <row r="26" spans="1:25" x14ac:dyDescent="0.2">
      <c r="A26" s="130" t="s">
        <v>99</v>
      </c>
      <c r="B26" s="130"/>
      <c r="C26" s="130"/>
      <c r="D26" s="130"/>
      <c r="E26" s="130"/>
      <c r="G26" t="s">
        <v>177</v>
      </c>
      <c r="I26" t="s">
        <v>179</v>
      </c>
    </row>
    <row r="27" spans="1:25" x14ac:dyDescent="0.2">
      <c r="A27" s="131">
        <v>1700</v>
      </c>
      <c r="B27" s="130">
        <v>0</v>
      </c>
      <c r="C27" s="130">
        <v>0</v>
      </c>
      <c r="D27" s="130"/>
      <c r="E27" s="130">
        <v>0</v>
      </c>
      <c r="G27" t="s">
        <v>194</v>
      </c>
    </row>
    <row r="28" spans="1:25" x14ac:dyDescent="0.2">
      <c r="A28" s="131">
        <v>1700</v>
      </c>
      <c r="B28" s="130">
        <v>40</v>
      </c>
      <c r="C28" s="130">
        <v>0.7</v>
      </c>
      <c r="D28" s="130"/>
      <c r="E28" s="130">
        <v>70</v>
      </c>
      <c r="G28" t="s">
        <v>193</v>
      </c>
    </row>
    <row r="29" spans="1:25" x14ac:dyDescent="0.2">
      <c r="G29" t="s">
        <v>192</v>
      </c>
    </row>
  </sheetData>
  <mergeCells count="16">
    <mergeCell ref="V1:Y1"/>
    <mergeCell ref="V2:Y2"/>
    <mergeCell ref="V3:Y3"/>
    <mergeCell ref="A2:D2"/>
    <mergeCell ref="A3:D3"/>
    <mergeCell ref="R1:U1"/>
    <mergeCell ref="R2:U2"/>
    <mergeCell ref="R3:U3"/>
    <mergeCell ref="E3:I3"/>
    <mergeCell ref="E2:I2"/>
    <mergeCell ref="J1:M1"/>
    <mergeCell ref="J2:M2"/>
    <mergeCell ref="J3:M3"/>
    <mergeCell ref="N1:Q1"/>
    <mergeCell ref="N2:Q2"/>
    <mergeCell ref="N3:Q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9"/>
  <sheetViews>
    <sheetView zoomScale="90" workbookViewId="0">
      <pane xSplit="3" ySplit="2" topLeftCell="Z3" activePane="bottomRight" state="frozen"/>
      <selection pane="topRight" activeCell="D1" sqref="D1"/>
      <selection pane="bottomLeft" activeCell="A3" sqref="A3"/>
      <selection pane="bottomRight" activeCell="AG3" sqref="AG3"/>
    </sheetView>
  </sheetViews>
  <sheetFormatPr defaultRowHeight="12.75" x14ac:dyDescent="0.2"/>
  <cols>
    <col min="1" max="1" width="12.5703125" bestFit="1" customWidth="1"/>
    <col min="2" max="2" width="8" bestFit="1" customWidth="1"/>
    <col min="3" max="3" width="14.42578125" customWidth="1"/>
    <col min="4" max="4" width="12.140625" bestFit="1" customWidth="1"/>
    <col min="5" max="5" width="11.42578125" bestFit="1" customWidth="1"/>
    <col min="6" max="10" width="14.42578125" customWidth="1"/>
    <col min="11" max="11" width="7.140625" hidden="1" customWidth="1"/>
    <col min="12" max="12" width="8.5703125" bestFit="1" customWidth="1"/>
    <col min="13" max="13" width="8.85546875" style="1" bestFit="1" customWidth="1"/>
    <col min="14" max="14" width="8.5703125" style="1" bestFit="1" customWidth="1"/>
    <col min="15" max="15" width="7.85546875" style="2" bestFit="1" customWidth="1"/>
    <col min="16" max="16" width="8.7109375" style="1" bestFit="1" customWidth="1"/>
    <col min="17" max="17" width="9.7109375" style="1" bestFit="1" customWidth="1"/>
    <col min="18" max="18" width="8.28515625" style="6" bestFit="1" customWidth="1"/>
    <col min="19" max="20" width="8.28515625" style="1" bestFit="1" customWidth="1"/>
    <col min="21" max="21" width="6.5703125" style="1" bestFit="1" customWidth="1"/>
    <col min="22" max="22" width="8.5703125" style="6" bestFit="1" customWidth="1"/>
    <col min="23" max="24" width="8.5703125" style="1" bestFit="1" customWidth="1"/>
    <col min="25" max="25" width="13.28515625" style="3" customWidth="1"/>
    <col min="26" max="26" width="6.140625" bestFit="1" customWidth="1"/>
    <col min="27" max="27" width="14.42578125" style="3" bestFit="1" customWidth="1"/>
    <col min="28" max="28" width="13.42578125" style="3" bestFit="1" customWidth="1"/>
    <col min="29" max="29" width="14" style="3" bestFit="1" customWidth="1"/>
    <col min="30" max="30" width="13.42578125" style="3" bestFit="1" customWidth="1"/>
    <col min="31" max="31" width="14" style="3" bestFit="1" customWidth="1"/>
    <col min="32" max="32" width="13.42578125" style="3" bestFit="1" customWidth="1"/>
    <col min="33" max="33" width="12.7109375" style="3" customWidth="1"/>
    <col min="34" max="35" width="13.42578125" style="3" bestFit="1" customWidth="1"/>
    <col min="36" max="36" width="14" style="3" bestFit="1" customWidth="1"/>
    <col min="37" max="37" width="13.42578125" style="3" bestFit="1" customWidth="1"/>
    <col min="38" max="38" width="14" style="3" bestFit="1" customWidth="1"/>
    <col min="39" max="39" width="12.7109375" bestFit="1" customWidth="1"/>
    <col min="40" max="44" width="12.85546875" bestFit="1" customWidth="1"/>
    <col min="45" max="46" width="12.85546875" customWidth="1"/>
    <col min="47" max="47" width="15.5703125" customWidth="1"/>
    <col min="48" max="61" width="12.85546875" customWidth="1"/>
    <col min="62" max="62" width="15.85546875" bestFit="1" customWidth="1"/>
    <col min="63" max="63" width="9.42578125" bestFit="1" customWidth="1"/>
    <col min="64" max="64" width="12.7109375" bestFit="1" customWidth="1"/>
    <col min="65" max="69" width="12.85546875" bestFit="1" customWidth="1"/>
    <col min="70" max="70" width="12.7109375" bestFit="1" customWidth="1"/>
    <col min="71" max="75" width="12.85546875" bestFit="1" customWidth="1"/>
    <col min="76" max="76" width="12.7109375" bestFit="1" customWidth="1"/>
    <col min="77" max="77" width="12.28515625" bestFit="1" customWidth="1"/>
    <col min="78" max="81" width="12.85546875" bestFit="1" customWidth="1"/>
    <col min="82" max="82" width="45.28515625" bestFit="1" customWidth="1"/>
  </cols>
  <sheetData>
    <row r="1" spans="1:82" s="150" customFormat="1" ht="41.25" customHeight="1" x14ac:dyDescent="0.2">
      <c r="A1" s="353"/>
      <c r="B1" s="353"/>
      <c r="C1" s="353"/>
      <c r="D1" s="353"/>
      <c r="E1" s="353"/>
      <c r="F1" s="353"/>
      <c r="G1" s="353"/>
      <c r="H1" s="353"/>
      <c r="I1" s="144"/>
      <c r="J1" s="144"/>
      <c r="K1" s="144"/>
      <c r="L1" s="144"/>
      <c r="M1" s="145" t="s">
        <v>103</v>
      </c>
      <c r="N1" s="145" t="s">
        <v>104</v>
      </c>
      <c r="O1" s="146" t="s">
        <v>105</v>
      </c>
      <c r="P1" s="145" t="s">
        <v>106</v>
      </c>
      <c r="Q1" s="145" t="s">
        <v>107</v>
      </c>
      <c r="R1" s="147" t="s">
        <v>108</v>
      </c>
      <c r="S1" s="145" t="s">
        <v>109</v>
      </c>
      <c r="T1" s="145" t="s">
        <v>110</v>
      </c>
      <c r="U1" s="145"/>
      <c r="V1" s="147" t="s">
        <v>111</v>
      </c>
      <c r="W1" s="145" t="s">
        <v>112</v>
      </c>
      <c r="X1" s="145" t="s">
        <v>113</v>
      </c>
      <c r="Y1" s="148"/>
      <c r="Z1" s="144"/>
      <c r="AA1" s="363" t="s">
        <v>38</v>
      </c>
      <c r="AB1" s="364"/>
      <c r="AC1" s="364"/>
      <c r="AD1" s="364"/>
      <c r="AE1" s="364"/>
      <c r="AF1" s="364"/>
      <c r="AG1" s="363" t="s">
        <v>39</v>
      </c>
      <c r="AH1" s="364"/>
      <c r="AI1" s="364"/>
      <c r="AJ1" s="364"/>
      <c r="AK1" s="364"/>
      <c r="AL1" s="364"/>
      <c r="AM1" s="363" t="s">
        <v>46</v>
      </c>
      <c r="AN1" s="364"/>
      <c r="AO1" s="364"/>
      <c r="AP1" s="364"/>
      <c r="AQ1" s="364"/>
      <c r="AR1" s="364"/>
      <c r="AS1" s="365" t="s">
        <v>114</v>
      </c>
      <c r="AT1" s="365"/>
      <c r="AU1" s="365"/>
      <c r="AV1" s="365"/>
      <c r="AW1" s="365"/>
      <c r="AX1" s="365"/>
      <c r="AY1" s="365"/>
      <c r="AZ1" s="365"/>
      <c r="BA1" s="365"/>
      <c r="BB1" s="365"/>
      <c r="BC1" s="365"/>
      <c r="BD1" s="365"/>
      <c r="BE1" s="365"/>
      <c r="BF1" s="365"/>
      <c r="BG1" s="365"/>
      <c r="BH1" s="365"/>
      <c r="BI1" s="365"/>
      <c r="BJ1" s="365"/>
      <c r="BK1" s="149" t="s">
        <v>65</v>
      </c>
      <c r="BL1" s="362" t="s">
        <v>66</v>
      </c>
      <c r="BM1" s="350"/>
      <c r="BN1" s="350"/>
      <c r="BO1" s="350"/>
      <c r="BP1" s="350"/>
      <c r="BQ1" s="359"/>
      <c r="BR1" s="362" t="s">
        <v>67</v>
      </c>
      <c r="BS1" s="350"/>
      <c r="BT1" s="350"/>
      <c r="BU1" s="350"/>
      <c r="BV1" s="350"/>
      <c r="BW1" s="359"/>
      <c r="BX1" s="362" t="s">
        <v>68</v>
      </c>
      <c r="BY1" s="350"/>
      <c r="BZ1" s="350"/>
      <c r="CA1" s="350"/>
      <c r="CB1" s="350"/>
      <c r="CC1" s="351"/>
      <c r="CD1" s="150" t="s">
        <v>69</v>
      </c>
    </row>
    <row r="2" spans="1:82" s="4" customFormat="1" ht="51" x14ac:dyDescent="0.2">
      <c r="A2" s="13" t="s">
        <v>0</v>
      </c>
      <c r="B2" s="14" t="s">
        <v>14</v>
      </c>
      <c r="C2" s="13" t="s">
        <v>15</v>
      </c>
      <c r="D2" s="15" t="s">
        <v>37</v>
      </c>
      <c r="E2" s="14" t="s">
        <v>16</v>
      </c>
      <c r="F2" s="15" t="s">
        <v>17</v>
      </c>
      <c r="G2" s="15" t="s">
        <v>18</v>
      </c>
      <c r="H2" s="15" t="s">
        <v>19</v>
      </c>
      <c r="I2" s="15" t="s">
        <v>21</v>
      </c>
      <c r="J2" s="15" t="s">
        <v>20</v>
      </c>
      <c r="K2" s="13" t="s">
        <v>1</v>
      </c>
      <c r="L2" s="15" t="s">
        <v>102</v>
      </c>
      <c r="M2" s="16" t="s">
        <v>22</v>
      </c>
      <c r="N2" s="16" t="s">
        <v>26</v>
      </c>
      <c r="O2" s="17" t="s">
        <v>23</v>
      </c>
      <c r="P2" s="16" t="s">
        <v>24</v>
      </c>
      <c r="Q2" s="16" t="s">
        <v>25</v>
      </c>
      <c r="R2" s="18" t="s">
        <v>27</v>
      </c>
      <c r="S2" s="16" t="s">
        <v>28</v>
      </c>
      <c r="T2" s="16" t="s">
        <v>29</v>
      </c>
      <c r="U2" s="19" t="s">
        <v>30</v>
      </c>
      <c r="V2" s="20" t="s">
        <v>31</v>
      </c>
      <c r="W2" s="16" t="s">
        <v>32</v>
      </c>
      <c r="X2" s="16" t="s">
        <v>33</v>
      </c>
      <c r="Y2" s="21" t="s">
        <v>36</v>
      </c>
      <c r="Z2" s="15" t="s">
        <v>34</v>
      </c>
      <c r="AA2" s="22" t="s">
        <v>2</v>
      </c>
      <c r="AB2" s="22" t="s">
        <v>3</v>
      </c>
      <c r="AC2" s="22" t="s">
        <v>4</v>
      </c>
      <c r="AD2" s="22" t="s">
        <v>5</v>
      </c>
      <c r="AE2" s="22" t="s">
        <v>6</v>
      </c>
      <c r="AF2" s="22" t="s">
        <v>7</v>
      </c>
      <c r="AG2" s="22" t="s">
        <v>8</v>
      </c>
      <c r="AH2" s="22" t="s">
        <v>9</v>
      </c>
      <c r="AI2" s="22" t="s">
        <v>10</v>
      </c>
      <c r="AJ2" s="22" t="s">
        <v>11</v>
      </c>
      <c r="AK2" s="22" t="s">
        <v>12</v>
      </c>
      <c r="AL2" s="22" t="s">
        <v>13</v>
      </c>
      <c r="AM2" s="22" t="s">
        <v>40</v>
      </c>
      <c r="AN2" s="22" t="s">
        <v>41</v>
      </c>
      <c r="AO2" s="22" t="s">
        <v>42</v>
      </c>
      <c r="AP2" s="22" t="s">
        <v>43</v>
      </c>
      <c r="AQ2" s="22" t="s">
        <v>44</v>
      </c>
      <c r="AR2" s="22" t="s">
        <v>45</v>
      </c>
      <c r="AS2" s="132" t="s">
        <v>115</v>
      </c>
      <c r="AT2" s="132" t="s">
        <v>116</v>
      </c>
      <c r="AU2" s="132" t="s">
        <v>117</v>
      </c>
      <c r="AV2" s="132" t="s">
        <v>118</v>
      </c>
      <c r="AW2" s="132" t="s">
        <v>119</v>
      </c>
      <c r="AX2" s="132" t="s">
        <v>120</v>
      </c>
      <c r="AY2" s="132" t="s">
        <v>121</v>
      </c>
      <c r="AZ2" s="132" t="s">
        <v>122</v>
      </c>
      <c r="BA2" s="132" t="s">
        <v>123</v>
      </c>
      <c r="BB2" s="132" t="s">
        <v>124</v>
      </c>
      <c r="BC2" s="132" t="s">
        <v>125</v>
      </c>
      <c r="BD2" s="132" t="s">
        <v>126</v>
      </c>
      <c r="BE2" s="132" t="s">
        <v>127</v>
      </c>
      <c r="BF2" s="132" t="s">
        <v>128</v>
      </c>
      <c r="BG2" s="132" t="s">
        <v>129</v>
      </c>
      <c r="BH2" s="132" t="s">
        <v>130</v>
      </c>
      <c r="BI2" s="132" t="s">
        <v>131</v>
      </c>
      <c r="BJ2" s="132" t="s">
        <v>132</v>
      </c>
      <c r="BL2" s="10" t="s">
        <v>47</v>
      </c>
      <c r="BM2" s="10" t="s">
        <v>48</v>
      </c>
      <c r="BN2" s="10" t="s">
        <v>49</v>
      </c>
      <c r="BO2" s="10" t="s">
        <v>50</v>
      </c>
      <c r="BP2" s="10" t="s">
        <v>51</v>
      </c>
      <c r="BQ2" s="11" t="s">
        <v>52</v>
      </c>
      <c r="BR2" s="9" t="s">
        <v>53</v>
      </c>
      <c r="BS2" s="10" t="s">
        <v>54</v>
      </c>
      <c r="BT2" s="10" t="s">
        <v>55</v>
      </c>
      <c r="BU2" s="10" t="s">
        <v>56</v>
      </c>
      <c r="BV2" s="10" t="s">
        <v>57</v>
      </c>
      <c r="BW2" s="11" t="s">
        <v>58</v>
      </c>
      <c r="BX2" s="9" t="s">
        <v>59</v>
      </c>
      <c r="BY2" s="10" t="s">
        <v>60</v>
      </c>
      <c r="BZ2" s="10" t="s">
        <v>61</v>
      </c>
      <c r="CA2" s="10" t="s">
        <v>62</v>
      </c>
      <c r="CB2" s="10" t="s">
        <v>63</v>
      </c>
      <c r="CC2" s="12" t="s">
        <v>64</v>
      </c>
    </row>
    <row r="3" spans="1:82" s="26" customFormat="1" x14ac:dyDescent="0.2">
      <c r="A3" s="27" t="s">
        <v>136</v>
      </c>
      <c r="B3" s="28">
        <v>400</v>
      </c>
      <c r="C3" s="27" t="s">
        <v>137</v>
      </c>
      <c r="D3" s="29"/>
      <c r="E3" s="35"/>
      <c r="F3" s="28"/>
      <c r="G3" s="28"/>
      <c r="H3" s="28"/>
      <c r="I3" s="30"/>
      <c r="J3" s="28"/>
      <c r="K3" s="27">
        <v>100</v>
      </c>
      <c r="L3" s="27"/>
      <c r="M3" s="31">
        <f>AA3</f>
        <v>34.578919999999997</v>
      </c>
      <c r="N3" s="31">
        <f>AG3</f>
        <v>0.25501099999999999</v>
      </c>
      <c r="O3" s="32">
        <v>700</v>
      </c>
      <c r="P3" s="31">
        <f>AA3+AB3*O3+AC3*O3^2+AD3*O3^3+AE3*O3^4+AF3*O3^5</f>
        <v>32.470848099800001</v>
      </c>
      <c r="Q3" s="31">
        <f>AG3+AH3*O3+AI3*O3^2+AJ3*O3^3+AK3*O3^4+AL3*O3^5</f>
        <v>0.33873762042499994</v>
      </c>
      <c r="R3" s="32">
        <v>1200</v>
      </c>
      <c r="S3" s="31">
        <f>AA3+AB3*R3+AC3*R3^2+AD3*R3^3+AE3*R3^4+AF3*R3^5</f>
        <v>27.062060604799996</v>
      </c>
      <c r="T3" s="31">
        <f>AG3+AH3*R3+AI3*R3^2+AJ3*R3^3+AK3*R3^4+AL3*R3^5</f>
        <v>0.37581834079999993</v>
      </c>
      <c r="U3" s="33">
        <f>(R3*S3*100)/(34.286*3960*T3)</f>
        <v>63.643217992758629</v>
      </c>
      <c r="V3" s="32">
        <v>1700</v>
      </c>
      <c r="W3" s="31">
        <f>AA3+AB3*V3+AC3*V3^2+AD3*V3^3+AE3*V3^4+AF3*V3^5</f>
        <v>10.90344260980001</v>
      </c>
      <c r="X3" s="31">
        <f>AG3+AH3*V3+AI3*V3^2+AJ3*V3^3+AK3*V3^4+AL3*V3^5</f>
        <v>0.37161918117500009</v>
      </c>
      <c r="Y3" s="34"/>
      <c r="Z3" s="27">
        <v>1900</v>
      </c>
      <c r="AA3" s="255">
        <v>34.578919999999997</v>
      </c>
      <c r="AB3" s="255">
        <v>2.748061E-3</v>
      </c>
      <c r="AC3" s="255">
        <v>-2.0896069999999999E-5</v>
      </c>
      <c r="AD3" s="255">
        <v>3.1696020000000001E-8</v>
      </c>
      <c r="AE3" s="255">
        <v>-2.2659780000000001E-11</v>
      </c>
      <c r="AF3" s="255">
        <v>4.6185400000000003E-15</v>
      </c>
      <c r="AG3" s="255">
        <v>0.25501099999999999</v>
      </c>
      <c r="AH3" s="255">
        <v>3.5073200000000002E-5</v>
      </c>
      <c r="AI3" s="255">
        <v>2.8384999999999999E-7</v>
      </c>
      <c r="AJ3" s="255">
        <v>-3.0247599999999999E-10</v>
      </c>
      <c r="AK3" s="255">
        <v>1.08211E-13</v>
      </c>
      <c r="AL3" s="255">
        <v>-1.2752500000000001E-17</v>
      </c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4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</row>
    <row r="4" spans="1:82" x14ac:dyDescent="0.2"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</row>
    <row r="5" spans="1:82" x14ac:dyDescent="0.2">
      <c r="A5" s="5" t="s">
        <v>35</v>
      </c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</row>
    <row r="6" spans="1:82" x14ac:dyDescent="0.2">
      <c r="Z6" s="290"/>
      <c r="AA6" s="291"/>
      <c r="AB6" s="291"/>
      <c r="AC6" s="291"/>
      <c r="AD6" s="291"/>
      <c r="AE6" s="291"/>
      <c r="AF6" s="291"/>
      <c r="AG6" s="291"/>
      <c r="AH6" s="291"/>
      <c r="AI6" s="256"/>
      <c r="AJ6" s="256"/>
      <c r="AK6" s="256"/>
      <c r="AL6" s="256"/>
    </row>
    <row r="7" spans="1:82" ht="13.5" thickBot="1" x14ac:dyDescent="0.25">
      <c r="A7" s="141" t="s">
        <v>100</v>
      </c>
      <c r="B7" s="141"/>
      <c r="Z7" s="290"/>
      <c r="AA7" s="292"/>
      <c r="AB7" s="292"/>
      <c r="AC7" s="292"/>
      <c r="AD7" s="292"/>
      <c r="AE7" s="292"/>
      <c r="AF7" s="292"/>
      <c r="AG7" s="291"/>
      <c r="AH7" s="291"/>
      <c r="AI7" s="256"/>
      <c r="AJ7" s="256"/>
      <c r="AK7" s="256"/>
      <c r="AL7" s="256"/>
    </row>
    <row r="8" spans="1:82" ht="13.5" thickBot="1" x14ac:dyDescent="0.25">
      <c r="A8" s="142" t="s">
        <v>101</v>
      </c>
      <c r="B8" s="143"/>
      <c r="Z8" s="290"/>
      <c r="AA8" s="293"/>
      <c r="AB8" s="294"/>
      <c r="AC8" s="294"/>
      <c r="AD8" s="294"/>
      <c r="AE8" s="294"/>
      <c r="AF8" s="294"/>
      <c r="AG8" s="294"/>
      <c r="AH8" s="294"/>
    </row>
    <row r="9" spans="1:82" ht="14.25" x14ac:dyDescent="0.2">
      <c r="AA9" s="289" t="s">
        <v>197</v>
      </c>
    </row>
  </sheetData>
  <mergeCells count="8">
    <mergeCell ref="BX1:CC1"/>
    <mergeCell ref="AA1:AF1"/>
    <mergeCell ref="AG1:AL1"/>
    <mergeCell ref="A1:H1"/>
    <mergeCell ref="AM1:AR1"/>
    <mergeCell ref="BL1:BQ1"/>
    <mergeCell ref="BR1:BW1"/>
    <mergeCell ref="AS1:BJ1"/>
  </mergeCells>
  <phoneticPr fontId="3" type="noConversion"/>
  <pageMargins left="0.75" right="0.75" top="1" bottom="1" header="0.5" footer="0.5"/>
  <pageSetup paperSize="3" scale="61" fitToWidth="3" fitToHeight="3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RC12 "A" 26.2mm</vt:lpstr>
      <vt:lpstr>RC12 "B" original mm</vt:lpstr>
      <vt:lpstr>RC12 "C" 25.6mm</vt:lpstr>
      <vt:lpstr>RC12 final July 26 2017</vt:lpstr>
      <vt:lpstr>compare</vt:lpstr>
      <vt:lpstr>Pump coeff</vt:lpstr>
      <vt:lpstr>RC12 PREMIER</vt:lpstr>
      <vt:lpstr>RC12 PREMIER (2)</vt:lpstr>
      <vt:lpstr>'Pump coeff'!Print_Area</vt:lpstr>
      <vt:lpstr>'RC12 "A" 26.2mm'!Print_Area</vt:lpstr>
      <vt:lpstr>'RC12 "B" original mm'!Print_Area</vt:lpstr>
      <vt:lpstr>'RC12 "C" 25.6mm'!Print_Area</vt:lpstr>
      <vt:lpstr>'RC12 final July 26 2017'!Print_Area</vt:lpstr>
      <vt:lpstr>pumpcat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Limanowka</dc:creator>
  <cp:lastModifiedBy>T440s-User</cp:lastModifiedBy>
  <cp:lastPrinted>2012-03-19T23:34:43Z</cp:lastPrinted>
  <dcterms:created xsi:type="dcterms:W3CDTF">2006-03-08T02:56:24Z</dcterms:created>
  <dcterms:modified xsi:type="dcterms:W3CDTF">2017-09-19T09:33:25Z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a675249e-2ee9-495f-8234-2766c5671c91</vt:lpwstr>
  </property>
</Properties>
</file>