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dkho-my.sharepoint.com/personal/diej_hdkho_onmicrosoft_com/Documents/桌面/"/>
    </mc:Choice>
  </mc:AlternateContent>
  <xr:revisionPtr revIDLastSave="7" documentId="11_8D61EED16BD1F95FB4C54B0385A367F2A6EBCAE4" xr6:coauthVersionLast="47" xr6:coauthVersionMax="47" xr10:uidLastSave="{ABD4238F-500B-4BBB-9337-1CFB97593DBB}"/>
  <bookViews>
    <workbookView xWindow="-120" yWindow="-120" windowWidth="29040" windowHeight="15840" xr2:uid="{00000000-000D-0000-FFFF-FFFF00000000}"/>
  </bookViews>
  <sheets>
    <sheet name="产量" sheetId="1" r:id="rId1"/>
    <sheet name="评价模型" sheetId="2" r:id="rId2"/>
    <sheet name="方案投资估算" sheetId="5" r:id="rId3"/>
    <sheet name="措施费用估算" sheetId="3" r:id="rId4"/>
    <sheet name="增量成本估算" sheetId="4" r:id="rId5"/>
    <sheet name="敏感性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2" i="2" l="1"/>
  <c r="A14" i="4"/>
  <c r="G6" i="4" s="1"/>
  <c r="I6" i="4" s="1"/>
  <c r="R13" i="4"/>
  <c r="P13" i="4"/>
  <c r="N13" i="4"/>
  <c r="H13" i="4"/>
  <c r="F13" i="4"/>
  <c r="D13" i="4"/>
  <c r="C13" i="4"/>
  <c r="M13" i="4" s="1"/>
  <c r="R12" i="4"/>
  <c r="P12" i="4"/>
  <c r="N12" i="4"/>
  <c r="H12" i="4"/>
  <c r="F12" i="4"/>
  <c r="E12" i="4"/>
  <c r="D12" i="4"/>
  <c r="C12" i="4"/>
  <c r="M12" i="4" s="1"/>
  <c r="R11" i="4"/>
  <c r="P11" i="4"/>
  <c r="N11" i="4"/>
  <c r="H11" i="4"/>
  <c r="F11" i="4"/>
  <c r="D11" i="4"/>
  <c r="C11" i="4"/>
  <c r="M11" i="4" s="1"/>
  <c r="R10" i="4"/>
  <c r="P10" i="4"/>
  <c r="N10" i="4"/>
  <c r="H10" i="4"/>
  <c r="F10" i="4"/>
  <c r="D10" i="4"/>
  <c r="C10" i="4"/>
  <c r="M10" i="4" s="1"/>
  <c r="R9" i="4"/>
  <c r="P9" i="4"/>
  <c r="O9" i="4"/>
  <c r="N9" i="4"/>
  <c r="H9" i="4"/>
  <c r="F9" i="4"/>
  <c r="D9" i="4"/>
  <c r="C9" i="4"/>
  <c r="M9" i="4" s="1"/>
  <c r="R8" i="4"/>
  <c r="P8" i="4"/>
  <c r="N8" i="4"/>
  <c r="H8" i="4"/>
  <c r="F8" i="4"/>
  <c r="D8" i="4"/>
  <c r="C8" i="4"/>
  <c r="M8" i="4" s="1"/>
  <c r="R7" i="4"/>
  <c r="P7" i="4"/>
  <c r="N7" i="4"/>
  <c r="H7" i="4"/>
  <c r="F7" i="4"/>
  <c r="D7" i="4"/>
  <c r="C7" i="4"/>
  <c r="M7" i="4" s="1"/>
  <c r="R6" i="4"/>
  <c r="P6" i="4"/>
  <c r="N6" i="4"/>
  <c r="H6" i="4"/>
  <c r="F6" i="4"/>
  <c r="D6" i="4"/>
  <c r="C6" i="4"/>
  <c r="M6" i="4" s="1"/>
  <c r="R5" i="4"/>
  <c r="P5" i="4"/>
  <c r="N5" i="4"/>
  <c r="H5" i="4"/>
  <c r="F5" i="4"/>
  <c r="D5" i="4"/>
  <c r="C5" i="4"/>
  <c r="M5" i="4" s="1"/>
  <c r="R4" i="4"/>
  <c r="P4" i="4"/>
  <c r="N4" i="4"/>
  <c r="H4" i="4"/>
  <c r="F4" i="4"/>
  <c r="D4" i="4"/>
  <c r="C4" i="4"/>
  <c r="M4" i="4" s="1"/>
  <c r="A4" i="4"/>
  <c r="E8" i="4" s="1"/>
  <c r="O23" i="3"/>
  <c r="A22" i="3"/>
  <c r="A20" i="3"/>
  <c r="A18" i="3"/>
  <c r="A16" i="3"/>
  <c r="A14" i="3"/>
  <c r="A12" i="3"/>
  <c r="A10" i="3"/>
  <c r="A8" i="3"/>
  <c r="E6" i="5"/>
  <c r="E5" i="5"/>
  <c r="E4" i="5"/>
  <c r="E3" i="5"/>
  <c r="E7" i="5" s="1"/>
  <c r="I4" i="2" s="1"/>
  <c r="J4" i="2" s="1"/>
  <c r="K13" i="2"/>
  <c r="G13" i="2"/>
  <c r="H13" i="2" s="1"/>
  <c r="K12" i="2"/>
  <c r="G12" i="2"/>
  <c r="K11" i="2"/>
  <c r="G11" i="2"/>
  <c r="K10" i="2"/>
  <c r="G10" i="2"/>
  <c r="K9" i="2"/>
  <c r="G9" i="2"/>
  <c r="H9" i="2" s="1"/>
  <c r="G8" i="2"/>
  <c r="H8" i="2" s="1"/>
  <c r="G7" i="2"/>
  <c r="G6" i="2"/>
  <c r="E5" i="2"/>
  <c r="E6" i="2" s="1"/>
  <c r="E7" i="2" s="1"/>
  <c r="E8" i="2" s="1"/>
  <c r="E9" i="2" s="1"/>
  <c r="E10" i="2" s="1"/>
  <c r="E11" i="2" s="1"/>
  <c r="E12" i="2" s="1"/>
  <c r="E13" i="2" s="1"/>
  <c r="G5" i="2"/>
  <c r="G4" i="2"/>
  <c r="C4" i="2"/>
  <c r="C5" i="2" s="1"/>
  <c r="F26" i="1"/>
  <c r="F25" i="1"/>
  <c r="F24" i="1"/>
  <c r="F23" i="1"/>
  <c r="F22" i="1"/>
  <c r="F21" i="1"/>
  <c r="F20" i="1"/>
  <c r="F19" i="1"/>
  <c r="F18" i="1"/>
  <c r="F17" i="1"/>
  <c r="G13" i="1"/>
  <c r="F13" i="1"/>
  <c r="E13" i="1"/>
  <c r="D13" i="1"/>
  <c r="C13" i="1"/>
  <c r="B13" i="1"/>
  <c r="H14" i="4" l="1"/>
  <c r="P14" i="4"/>
  <c r="R14" i="4"/>
  <c r="L7" i="3"/>
  <c r="K7" i="2" s="1"/>
  <c r="L8" i="3"/>
  <c r="K8" i="2" s="1"/>
  <c r="F14" i="4"/>
  <c r="C6" i="2"/>
  <c r="C5" i="3"/>
  <c r="H4" i="2"/>
  <c r="H5" i="2"/>
  <c r="H11" i="2"/>
  <c r="T4" i="4"/>
  <c r="H10" i="2"/>
  <c r="H6" i="2"/>
  <c r="H12" i="2"/>
  <c r="H7" i="2"/>
  <c r="O4" i="4"/>
  <c r="D14" i="4"/>
  <c r="O13" i="4"/>
  <c r="Q10" i="4"/>
  <c r="S10" i="4" s="1"/>
  <c r="O12" i="4"/>
  <c r="G13" i="4"/>
  <c r="I13" i="4" s="1"/>
  <c r="N14" i="4"/>
  <c r="Q7" i="4"/>
  <c r="S7" i="4" s="1"/>
  <c r="C4" i="3"/>
  <c r="L4" i="3"/>
  <c r="K4" i="2" s="1"/>
  <c r="Q9" i="4"/>
  <c r="S9" i="4" s="1"/>
  <c r="O11" i="4"/>
  <c r="T11" i="4" s="1"/>
  <c r="G7" i="4"/>
  <c r="I7" i="4" s="1"/>
  <c r="L5" i="3"/>
  <c r="K5" i="2" s="1"/>
  <c r="E4" i="4"/>
  <c r="J4" i="4" s="1"/>
  <c r="Q11" i="4"/>
  <c r="S11" i="4" s="1"/>
  <c r="Q5" i="4"/>
  <c r="S5" i="4" s="1"/>
  <c r="O7" i="4"/>
  <c r="G8" i="4"/>
  <c r="I8" i="4" s="1"/>
  <c r="E10" i="4"/>
  <c r="J10" i="4" s="1"/>
  <c r="K10" i="4" s="1"/>
  <c r="E5" i="4"/>
  <c r="J5" i="4" s="1"/>
  <c r="K5" i="4" s="1"/>
  <c r="Q12" i="4"/>
  <c r="S12" i="4" s="1"/>
  <c r="Q14" i="4"/>
  <c r="Q6" i="4"/>
  <c r="S6" i="4" s="1"/>
  <c r="O8" i="4"/>
  <c r="T8" i="4" s="1"/>
  <c r="G9" i="4"/>
  <c r="I9" i="4" s="1"/>
  <c r="E11" i="4"/>
  <c r="J11" i="4" s="1"/>
  <c r="K11" i="4" s="1"/>
  <c r="L6" i="3"/>
  <c r="K6" i="2" s="1"/>
  <c r="G4" i="4"/>
  <c r="I4" i="4" s="1"/>
  <c r="E6" i="4"/>
  <c r="J6" i="4" s="1"/>
  <c r="K6" i="4" s="1"/>
  <c r="Q13" i="4"/>
  <c r="S13" i="4" s="1"/>
  <c r="G10" i="4"/>
  <c r="I10" i="4" s="1"/>
  <c r="E7" i="4"/>
  <c r="J7" i="4" s="1"/>
  <c r="K7" i="4" s="1"/>
  <c r="Q8" i="4"/>
  <c r="S8" i="4" s="1"/>
  <c r="O10" i="4"/>
  <c r="T10" i="4" s="1"/>
  <c r="G11" i="4"/>
  <c r="I11" i="4" s="1"/>
  <c r="E13" i="4"/>
  <c r="G5" i="4"/>
  <c r="I5" i="4" s="1"/>
  <c r="G12" i="4"/>
  <c r="I12" i="4" s="1"/>
  <c r="Q4" i="4"/>
  <c r="S4" i="4" s="1"/>
  <c r="O6" i="4"/>
  <c r="T6" i="4" s="1"/>
  <c r="E9" i="4"/>
  <c r="J9" i="4" s="1"/>
  <c r="K9" i="4" s="1"/>
  <c r="G14" i="4"/>
  <c r="O5" i="4"/>
  <c r="T5" i="4" s="1"/>
  <c r="U8" i="4" l="1"/>
  <c r="V6" i="4"/>
  <c r="L6" i="2" s="1"/>
  <c r="M6" i="2" s="1"/>
  <c r="U6" i="4"/>
  <c r="U11" i="4"/>
  <c r="V11" i="4"/>
  <c r="L11" i="2" s="1"/>
  <c r="T9" i="4"/>
  <c r="K4" i="4"/>
  <c r="U10" i="4"/>
  <c r="V10" i="4"/>
  <c r="L10" i="2" s="1"/>
  <c r="V4" i="4"/>
  <c r="L4" i="2" s="1"/>
  <c r="M4" i="2" s="1"/>
  <c r="N4" i="2" s="1"/>
  <c r="O4" i="2" s="1"/>
  <c r="P4" i="2" s="1"/>
  <c r="Q4" i="2" s="1"/>
  <c r="U4" i="4"/>
  <c r="T12" i="4"/>
  <c r="C7" i="2"/>
  <c r="C6" i="3"/>
  <c r="T13" i="4"/>
  <c r="S14" i="4"/>
  <c r="E14" i="4"/>
  <c r="J12" i="4"/>
  <c r="K12" i="4" s="1"/>
  <c r="J8" i="4"/>
  <c r="K8" i="4" s="1"/>
  <c r="T7" i="4"/>
  <c r="U5" i="4"/>
  <c r="V5" i="4"/>
  <c r="L5" i="2" s="1"/>
  <c r="I14" i="4"/>
  <c r="J13" i="4"/>
  <c r="K13" i="4" s="1"/>
  <c r="O14" i="4"/>
  <c r="R4" i="2" l="1"/>
  <c r="M11" i="2"/>
  <c r="N11" i="2" s="1"/>
  <c r="O11" i="2" s="1"/>
  <c r="P11" i="2" s="1"/>
  <c r="Q11" i="2" s="1"/>
  <c r="C8" i="2"/>
  <c r="C7" i="3"/>
  <c r="V12" i="4"/>
  <c r="L12" i="2" s="1"/>
  <c r="U12" i="4"/>
  <c r="M5" i="2"/>
  <c r="N5" i="2" s="1"/>
  <c r="O5" i="2" s="1"/>
  <c r="P5" i="2" s="1"/>
  <c r="Q5" i="2" s="1"/>
  <c r="J14" i="4"/>
  <c r="K14" i="4" s="1"/>
  <c r="V9" i="4"/>
  <c r="L9" i="2" s="1"/>
  <c r="U9" i="4"/>
  <c r="U7" i="4"/>
  <c r="V7" i="4"/>
  <c r="L7" i="2" s="1"/>
  <c r="T14" i="4"/>
  <c r="V13" i="4"/>
  <c r="L13" i="2" s="1"/>
  <c r="U13" i="4"/>
  <c r="M10" i="2"/>
  <c r="N10" i="2" s="1"/>
  <c r="O10" i="2" s="1"/>
  <c r="P10" i="2" s="1"/>
  <c r="Q10" i="2" s="1"/>
  <c r="V8" i="4"/>
  <c r="L8" i="2" s="1"/>
  <c r="S5" i="2" l="1"/>
  <c r="R5" i="2"/>
  <c r="M13" i="2"/>
  <c r="N13" i="2" s="1"/>
  <c r="O13" i="2" s="1"/>
  <c r="P13" i="2" s="1"/>
  <c r="Q13" i="2" s="1"/>
  <c r="M8" i="2"/>
  <c r="N8" i="2" s="1"/>
  <c r="O8" i="2" s="1"/>
  <c r="P8" i="2" s="1"/>
  <c r="Q8" i="2" s="1"/>
  <c r="V14" i="4"/>
  <c r="U14" i="4"/>
  <c r="M7" i="2"/>
  <c r="N7" i="2" s="1"/>
  <c r="O7" i="2" s="1"/>
  <c r="P7" i="2" s="1"/>
  <c r="Q7" i="2" s="1"/>
  <c r="C8" i="3"/>
  <c r="C9" i="2"/>
  <c r="N6" i="2"/>
  <c r="O6" i="2" s="1"/>
  <c r="P6" i="2" s="1"/>
  <c r="Q6" i="2" s="1"/>
  <c r="R6" i="2" s="1"/>
  <c r="M9" i="2"/>
  <c r="N9" i="2" s="1"/>
  <c r="O9" i="2" s="1"/>
  <c r="P9" i="2" s="1"/>
  <c r="Q9" i="2" s="1"/>
  <c r="M12" i="2"/>
  <c r="N12" i="2" s="1"/>
  <c r="O12" i="2" s="1"/>
  <c r="P12" i="2" s="1"/>
  <c r="Q12" i="2" s="1"/>
  <c r="T13" i="2" l="1"/>
  <c r="R8" i="2"/>
  <c r="R10" i="2"/>
  <c r="R7" i="2"/>
  <c r="R13" i="2"/>
  <c r="R12" i="2"/>
  <c r="S13" i="2"/>
  <c r="S7" i="2"/>
  <c r="R11" i="2"/>
  <c r="S9" i="2"/>
  <c r="S8" i="2"/>
  <c r="S11" i="2"/>
  <c r="S12" i="2"/>
  <c r="S6" i="2"/>
  <c r="R9" i="2"/>
  <c r="C10" i="2"/>
  <c r="C9" i="3"/>
  <c r="S10" i="2"/>
  <c r="F3" i="6" l="1"/>
  <c r="D3" i="6"/>
  <c r="B3" i="6"/>
  <c r="C10" i="3"/>
  <c r="C11" i="2"/>
  <c r="C12" i="2" l="1"/>
  <c r="C11" i="3"/>
  <c r="C13" i="2" l="1"/>
  <c r="C13" i="3" s="1"/>
  <c r="C12" i="3"/>
</calcChain>
</file>

<file path=xl/sharedStrings.xml><?xml version="1.0" encoding="utf-8"?>
<sst xmlns="http://schemas.openxmlformats.org/spreadsheetml/2006/main" count="109" uniqueCount="83">
  <si>
    <t>年份</t>
  </si>
  <si>
    <t>基础方案</t>
  </si>
  <si>
    <t>措施调整方案</t>
  </si>
  <si>
    <t>产油量t</t>
  </si>
  <si>
    <t>产液量t</t>
  </si>
  <si>
    <t>注水量t</t>
  </si>
  <si>
    <t>合计</t>
  </si>
  <si>
    <t>税与税率</t>
  </si>
  <si>
    <t>增产油量(吨）</t>
  </si>
  <si>
    <t>国际油价（美元/桶）</t>
  </si>
  <si>
    <t>销售油价（元/吨）</t>
  </si>
  <si>
    <t>销售收入</t>
  </si>
  <si>
    <t>销项税</t>
  </si>
  <si>
    <t>新增投资</t>
  </si>
  <si>
    <t>投资进项税</t>
  </si>
  <si>
    <t>新增措施费</t>
  </si>
  <si>
    <t xml:space="preserve">增量操作费 </t>
  </si>
  <si>
    <t>成本进项税</t>
  </si>
  <si>
    <t>计算增值税</t>
  </si>
  <si>
    <t>增值税</t>
  </si>
  <si>
    <t>新增税金</t>
  </si>
  <si>
    <t>现金流量</t>
  </si>
  <si>
    <t>年度增量NPV</t>
  </si>
  <si>
    <t>增量内部收益率</t>
  </si>
  <si>
    <t>进项税</t>
  </si>
  <si>
    <t>出口关税（美元/吨）</t>
  </si>
  <si>
    <t>出口收益（美元/吨）</t>
  </si>
  <si>
    <t>矿区开采税</t>
  </si>
  <si>
    <t>管网改造投资估算</t>
  </si>
  <si>
    <t>名称及规格</t>
  </si>
  <si>
    <t>单位</t>
  </si>
  <si>
    <t>数量</t>
  </si>
  <si>
    <t>投资估算（元）</t>
  </si>
  <si>
    <t>MB-CPF站内流程调整</t>
  </si>
  <si>
    <t>项</t>
  </si>
  <si>
    <t>MS-1站内流程调整</t>
  </si>
  <si>
    <t>装车流程恢复</t>
  </si>
  <si>
    <t>外输管道清扫</t>
  </si>
  <si>
    <t>单价参数</t>
  </si>
  <si>
    <t>方案措施费用估算</t>
  </si>
  <si>
    <t>汇率</t>
  </si>
  <si>
    <t>措施工作量</t>
  </si>
  <si>
    <t>措施费用（元）</t>
  </si>
  <si>
    <t>1元=65坚戈</t>
  </si>
  <si>
    <t>油井压裂</t>
  </si>
  <si>
    <t>油水井重复射孔</t>
  </si>
  <si>
    <t>油井重新完井</t>
  </si>
  <si>
    <t>油井补孔</t>
  </si>
  <si>
    <t>油井转注</t>
  </si>
  <si>
    <t>水井转采</t>
  </si>
  <si>
    <t>机械堵水</t>
  </si>
  <si>
    <t>PLT测试</t>
  </si>
  <si>
    <t>1美元=6.5元</t>
  </si>
  <si>
    <t>坚戈兑人民币</t>
  </si>
  <si>
    <t>压裂单价</t>
  </si>
  <si>
    <t>重复射孔</t>
  </si>
  <si>
    <t>注水井转采油</t>
  </si>
  <si>
    <t>油井机械堵水</t>
  </si>
  <si>
    <t>成本要素单价</t>
  </si>
  <si>
    <t>基础方案操作费</t>
  </si>
  <si>
    <t>调整方案操作费</t>
  </si>
  <si>
    <t>年</t>
  </si>
  <si>
    <t>材料费（元）</t>
  </si>
  <si>
    <t>电费  （元）</t>
  </si>
  <si>
    <t>注水费（元）</t>
  </si>
  <si>
    <t>人员费（元）</t>
  </si>
  <si>
    <t>修理费  （元）</t>
  </si>
  <si>
    <t>管理费（元）</t>
  </si>
  <si>
    <t>合计 （元）</t>
  </si>
  <si>
    <t>吨油操作费（元）</t>
  </si>
  <si>
    <t>吨油操作费 （元）</t>
  </si>
  <si>
    <t>增量操作费（美元）</t>
  </si>
  <si>
    <t>吨液电费</t>
  </si>
  <si>
    <t>吨油材料费</t>
  </si>
  <si>
    <t>吨水注入费</t>
  </si>
  <si>
    <t>人员费用/人.年</t>
  </si>
  <si>
    <t>修理费用/井.年</t>
  </si>
  <si>
    <t>定员数量</t>
  </si>
  <si>
    <t>产量</t>
  </si>
  <si>
    <t>内部收益率</t>
  </si>
  <si>
    <t>措施费用</t>
  </si>
  <si>
    <t>增量操作费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</si>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</sst>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000_ "/>
    <numFmt numFmtId="179" formatCode="0.000_ "/>
    <numFmt numFmtId="180" formatCode="0.0%"/>
  </numFmts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>
      <alignment vertical="center"/>
    </xf>
    <xf numFmtId="9" fontId="0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8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9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2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180" fontId="0" fillId="0" borderId="1" xfId="0" applyNumberFormat="1" applyFill="1" applyBorder="1" applyAlignment="1">
      <alignment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0" xfId="0" applyFont="1" applyFill="1" applyAlignment="1">
      <alignment vertical="center"/>
    </xf>
    <xf numFmtId="9" fontId="3" fillId="0" borderId="0" xfId="0" applyNumberFormat="1" applyFont="1" applyFill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3">
    <cellStyle name="Normal 2" xfId="2" xr:uid="{00000000-0005-0000-0000-000000000000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产量!$A$3:$A$12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产量!$B$3:$B$12</c:f>
              <c:numCache>
                <c:formatCode>General</c:formatCode>
                <c:ptCount val="10"/>
                <c:pt idx="0">
                  <c:v>7808.2</c:v>
                </c:pt>
                <c:pt idx="1">
                  <c:v>8265.34</c:v>
                </c:pt>
                <c:pt idx="2">
                  <c:v>7237.96</c:v>
                </c:pt>
                <c:pt idx="3">
                  <c:v>6356.32</c:v>
                </c:pt>
                <c:pt idx="4">
                  <c:v>5550.44</c:v>
                </c:pt>
                <c:pt idx="5">
                  <c:v>4860.5200000000004</c:v>
                </c:pt>
                <c:pt idx="6">
                  <c:v>4256.3599999999997</c:v>
                </c:pt>
                <c:pt idx="7">
                  <c:v>3737.9</c:v>
                </c:pt>
                <c:pt idx="8">
                  <c:v>3263.99</c:v>
                </c:pt>
                <c:pt idx="9">
                  <c:v>2858.28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31-4DF8-8D96-53733373008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产量!$A$3:$A$12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产量!$E$3:$E$12</c:f>
              <c:numCache>
                <c:formatCode>General</c:formatCode>
                <c:ptCount val="10"/>
                <c:pt idx="0">
                  <c:v>7926.5434999999998</c:v>
                </c:pt>
                <c:pt idx="1">
                  <c:v>10540.953</c:v>
                </c:pt>
                <c:pt idx="2">
                  <c:v>10354.905000000001</c:v>
                </c:pt>
                <c:pt idx="3">
                  <c:v>11626.632</c:v>
                </c:pt>
                <c:pt idx="4">
                  <c:v>10710.13185</c:v>
                </c:pt>
                <c:pt idx="5">
                  <c:v>9698.1623999999993</c:v>
                </c:pt>
                <c:pt idx="6">
                  <c:v>8248.4243999999999</c:v>
                </c:pt>
                <c:pt idx="7">
                  <c:v>6593.63004</c:v>
                </c:pt>
                <c:pt idx="8">
                  <c:v>5182.6517549999999</c:v>
                </c:pt>
                <c:pt idx="9">
                  <c:v>4306.8838050000004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31-4DF8-8D96-537333730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57581"/>
        <c:axId val="683926108"/>
      </c:scatterChart>
      <c:valAx>
        <c:axId val="618657581"/>
        <c:scaling>
          <c:orientation val="minMax"/>
          <c:max val="2030"/>
          <c:min val="20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926108"/>
        <c:crosses val="autoZero"/>
        <c:crossBetween val="midCat"/>
      </c:valAx>
      <c:valAx>
        <c:axId val="6839261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65758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[1]经济评价模型!$T$2</c:f>
              <c:strCache>
                <c:ptCount val="1"/>
                <c:pt idx="0">
                  <c:v>现金流量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[1]经济评价模型!$T$3:$T$18</c:f>
              <c:numCache>
                <c:formatCode>General</c:formatCode>
                <c:ptCount val="16"/>
                <c:pt idx="1">
                  <c:v>-1198.9780000000001</c:v>
                </c:pt>
                <c:pt idx="2">
                  <c:v>-1844.52043003668</c:v>
                </c:pt>
                <c:pt idx="3">
                  <c:v>44.905492217871299</c:v>
                </c:pt>
                <c:pt idx="4">
                  <c:v>25.289083516002499</c:v>
                </c:pt>
                <c:pt idx="5">
                  <c:v>369.49270211047502</c:v>
                </c:pt>
                <c:pt idx="6">
                  <c:v>166.45187269101501</c:v>
                </c:pt>
                <c:pt idx="7">
                  <c:v>35.5724534959175</c:v>
                </c:pt>
                <c:pt idx="8">
                  <c:v>-20.292948809134302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E-4472-99AA-42B16ECD85FA}"/>
            </c:ext>
          </c:extLst>
        </c:ser>
        <c:ser>
          <c:idx val="1"/>
          <c:order val="1"/>
          <c:tx>
            <c:strRef>
              <c:f>[1]经济评价模型!$U$2</c:f>
              <c:strCache>
                <c:ptCount val="1"/>
                <c:pt idx="0">
                  <c:v>累计现金流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[1]经济评价模型!$U$3:$U$18</c:f>
              <c:numCache>
                <c:formatCode>General</c:formatCode>
                <c:ptCount val="16"/>
                <c:pt idx="1">
                  <c:v>-1198.9780000000001</c:v>
                </c:pt>
                <c:pt idx="2">
                  <c:v>-3043.49843003668</c:v>
                </c:pt>
                <c:pt idx="3">
                  <c:v>-2998.5929378188098</c:v>
                </c:pt>
                <c:pt idx="4">
                  <c:v>-2973.3038543028001</c:v>
                </c:pt>
                <c:pt idx="5">
                  <c:v>-2603.8111521923302</c:v>
                </c:pt>
                <c:pt idx="6">
                  <c:v>-2437.3592795013101</c:v>
                </c:pt>
                <c:pt idx="7">
                  <c:v>-2401.7868260054001</c:v>
                </c:pt>
                <c:pt idx="8">
                  <c:v>-2422.0797748145301</c:v>
                </c:pt>
                <c:pt idx="9">
                  <c:v>-2422.0797748145301</c:v>
                </c:pt>
                <c:pt idx="10">
                  <c:v>-2422.0797748145301</c:v>
                </c:pt>
                <c:pt idx="11">
                  <c:v>-2422.0797748145301</c:v>
                </c:pt>
                <c:pt idx="12">
                  <c:v>-2422.0797748145301</c:v>
                </c:pt>
                <c:pt idx="13">
                  <c:v>-2422.0797748145301</c:v>
                </c:pt>
                <c:pt idx="14">
                  <c:v>-2422.0797748145301</c:v>
                </c:pt>
                <c:pt idx="15">
                  <c:v>-2422.0797748145301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E-4472-99AA-42B16ECD8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0"/>
        <c:overlap val="-100"/>
        <c:axId val="652806307"/>
        <c:axId val="237260453"/>
      </c:barChart>
      <c:catAx>
        <c:axId val="65280630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时间（年）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7260453"/>
        <c:crosses val="autoZero"/>
        <c:auto val="1"/>
        <c:lblAlgn val="ctr"/>
        <c:lblOffset val="100"/>
        <c:noMultiLvlLbl val="0"/>
      </c:catAx>
      <c:valAx>
        <c:axId val="2372604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现金流量（万元）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8063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21184065642677"/>
          <c:y val="5.4726368159203981E-2"/>
          <c:w val="0.7305328328195887"/>
          <c:h val="0.72040662827594315"/>
        </c:manualLayout>
      </c:layout>
      <c:scatterChart>
        <c:scatterStyle val="smoothMarker"/>
        <c:varyColors val="0"/>
        <c:ser>
          <c:idx val="0"/>
          <c:order val="0"/>
          <c:tx>
            <c:v>产量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敏感性!$A$4:$A$9</c:f>
              <c:numCache>
                <c:formatCode>0%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敏感性!$B$4:$B$9</c:f>
              <c:numCache>
                <c:formatCode>0.00%</c:formatCode>
                <c:ptCount val="6"/>
                <c:pt idx="0">
                  <c:v>0.66556774699399224</c:v>
                </c:pt>
                <c:pt idx="1">
                  <c:v>0.66556774699399224</c:v>
                </c:pt>
                <c:pt idx="2">
                  <c:v>0.66556774699399224</c:v>
                </c:pt>
                <c:pt idx="3">
                  <c:v>0.66556774699399224</c:v>
                </c:pt>
                <c:pt idx="4">
                  <c:v>0.66556774699399224</c:v>
                </c:pt>
                <c:pt idx="5">
                  <c:v>0.66556774699399224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A8-49B7-8474-F814F758CE29}"/>
            </c:ext>
          </c:extLst>
        </c:ser>
        <c:ser>
          <c:idx val="1"/>
          <c:order val="1"/>
          <c:tx>
            <c:v>措施成本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敏感性!$A$4:$A$9</c:f>
              <c:numCache>
                <c:formatCode>0%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敏感性!$D$4:$D$9</c:f>
              <c:numCache>
                <c:formatCode>0.00%</c:formatCode>
                <c:ptCount val="6"/>
                <c:pt idx="0">
                  <c:v>0.41234450481819662</c:v>
                </c:pt>
                <c:pt idx="1">
                  <c:v>0.45268188265695142</c:v>
                </c:pt>
                <c:pt idx="2">
                  <c:v>0.49736942493835512</c:v>
                </c:pt>
                <c:pt idx="3">
                  <c:v>0.54712970064169486</c:v>
                </c:pt>
                <c:pt idx="4">
                  <c:v>0.60283943211792623</c:v>
                </c:pt>
                <c:pt idx="5">
                  <c:v>0.66556774699399224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A8-49B7-8474-F814F758CE29}"/>
            </c:ext>
          </c:extLst>
        </c:ser>
        <c:ser>
          <c:idx val="2"/>
          <c:order val="2"/>
          <c:tx>
            <c:v>成本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敏感性!$A$4:$A$9</c:f>
              <c:numCache>
                <c:formatCode>0%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xVal>
          <c:yVal>
            <c:numRef>
              <c:f>敏感性!$F$4:$F$9</c:f>
              <c:numCache>
                <c:formatCode>0.00%</c:formatCode>
                <c:ptCount val="6"/>
                <c:pt idx="0">
                  <c:v>0.60854888985559352</c:v>
                </c:pt>
                <c:pt idx="1">
                  <c:v>0.62002754187771281</c:v>
                </c:pt>
                <c:pt idx="2">
                  <c:v>0.63146592571476479</c:v>
                </c:pt>
                <c:pt idx="3">
                  <c:v>0.64286695084253198</c:v>
                </c:pt>
                <c:pt idx="4">
                  <c:v>0.65423336091185047</c:v>
                </c:pt>
                <c:pt idx="5">
                  <c:v>0.66556774699399224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A8-49B7-8474-F814F758C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127481"/>
        <c:axId val="530484673"/>
      </c:scatterChart>
      <c:valAx>
        <c:axId val="539127481"/>
        <c:scaling>
          <c:orientation val="minMax"/>
          <c:max val="1"/>
          <c:min val="0.5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减少幅度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0484673"/>
        <c:crosses val="autoZero"/>
        <c:crossBetween val="midCat"/>
      </c:valAx>
      <c:valAx>
        <c:axId val="530484673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内部收益率（</a:t>
                </a:r>
                <a:r>
                  <a:rPr lang="en-US" altLang="zh-CN"/>
                  <a:t>%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912748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621719205665884"/>
          <c:y val="0.92630508872958039"/>
          <c:w val="0.54992362171920561"/>
          <c:h val="6.7787832491087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460375</xdr:colOff>
      <xdr:row>0</xdr:row>
      <xdr:rowOff>60325</xdr:rowOff>
    </xdr:from>
    <xdr:to>
      <xdr:col>14</xdr:col>
      <xdr:colOff>231775</xdr:colOff>
      <xdr:row>14</xdr:row>
      <xdr:rowOff>155575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15</xdr:row>
      <xdr:rowOff>34925</xdr:rowOff>
    </xdr:from>
    <xdr:to>
      <xdr:col>16</xdr:col>
      <xdr:colOff>383540</xdr:colOff>
      <xdr:row>15</xdr:row>
      <xdr:rowOff>34925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506095</xdr:colOff>
      <xdr:row>1</xdr:row>
      <xdr:rowOff>3175</xdr:rowOff>
    </xdr:from>
    <xdr:to>
      <xdr:col>13</xdr:col>
      <xdr:colOff>278130</xdr:colOff>
      <xdr:row>15</xdr:row>
      <xdr:rowOff>155575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2269;&#22806;&#35780;&#20215;\&#35745;&#31639;&#27169;&#22411;\&#39118;&#22478;THAI&#28779;&#39537;&#39564;&#25910;&#32463;&#27982;&#35780;&#20215;8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评价参数"/>
      <sheetName val="经济评价模型"/>
      <sheetName val="数据源"/>
      <sheetName val="井组产量"/>
      <sheetName val="化验+蒸汽+电费"/>
      <sheetName val="井下作业"/>
      <sheetName val="井下作业单价"/>
      <sheetName val="风城承担的成本"/>
      <sheetName val="投资情况"/>
      <sheetName val="工程院2011年费用"/>
      <sheetName val="工程院2012年费用"/>
      <sheetName val="工程院费用2013年费用"/>
      <sheetName val="工程院2014费用"/>
      <sheetName val="工程院2017年费用"/>
      <sheetName val="工程院科研经费"/>
      <sheetName val="工程院工作量"/>
      <sheetName val="风城提供资产"/>
      <sheetName val="实际研究项目与费用"/>
      <sheetName val="李强-钻井实际成本"/>
      <sheetName val="Sheet3"/>
      <sheetName val="Sheet4"/>
    </sheetNames>
    <sheetDataSet>
      <sheetData sheetId="0"/>
      <sheetData sheetId="1">
        <row r="2">
          <cell r="T2" t="str">
            <v>现金流量</v>
          </cell>
          <cell r="U2" t="str">
            <v>累计现金流</v>
          </cell>
        </row>
        <row r="4">
          <cell r="T4">
            <v>-1198.9780000000001</v>
          </cell>
          <cell r="U4">
            <v>-1198.9780000000001</v>
          </cell>
        </row>
        <row r="5">
          <cell r="T5">
            <v>-1844.52043003668</v>
          </cell>
          <cell r="U5">
            <v>-3043.49843003668</v>
          </cell>
        </row>
        <row r="6">
          <cell r="T6">
            <v>44.905492217871299</v>
          </cell>
          <cell r="U6">
            <v>-2998.5929378188098</v>
          </cell>
        </row>
        <row r="7">
          <cell r="T7">
            <v>25.289083516002499</v>
          </cell>
          <cell r="U7">
            <v>-2973.3038543028001</v>
          </cell>
        </row>
        <row r="8">
          <cell r="T8">
            <v>369.49270211047502</v>
          </cell>
          <cell r="U8">
            <v>-2603.8111521923302</v>
          </cell>
        </row>
        <row r="9">
          <cell r="T9">
            <v>166.45187269101501</v>
          </cell>
          <cell r="U9">
            <v>-2437.3592795013101</v>
          </cell>
        </row>
        <row r="10">
          <cell r="T10">
            <v>35.5724534959175</v>
          </cell>
          <cell r="U10">
            <v>-2401.7868260054001</v>
          </cell>
        </row>
        <row r="11">
          <cell r="T11">
            <v>-20.292948809134302</v>
          </cell>
          <cell r="U11">
            <v>-2422.0797748145301</v>
          </cell>
        </row>
        <row r="12">
          <cell r="T12">
            <v>0</v>
          </cell>
          <cell r="U12">
            <v>-2422.0797748145301</v>
          </cell>
        </row>
        <row r="13">
          <cell r="T13">
            <v>0</v>
          </cell>
          <cell r="U13">
            <v>-2422.0797748145301</v>
          </cell>
        </row>
        <row r="14">
          <cell r="T14">
            <v>0</v>
          </cell>
          <cell r="U14">
            <v>-2422.0797748145301</v>
          </cell>
        </row>
        <row r="15">
          <cell r="T15">
            <v>0</v>
          </cell>
          <cell r="U15">
            <v>-2422.0797748145301</v>
          </cell>
        </row>
        <row r="16">
          <cell r="T16">
            <v>0</v>
          </cell>
          <cell r="U16">
            <v>-2422.0797748145301</v>
          </cell>
        </row>
        <row r="17">
          <cell r="T17">
            <v>0</v>
          </cell>
          <cell r="U17">
            <v>-2422.0797748145301</v>
          </cell>
        </row>
        <row r="18">
          <cell r="T18">
            <v>0</v>
          </cell>
          <cell r="U18">
            <v>-2422.0797748145301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3" sqref="G13"/>
    </sheetView>
  </sheetViews>
  <sheetFormatPr defaultColWidth="9" defaultRowHeight="13.5" x14ac:dyDescent="0.15"/>
  <cols>
    <col min="2" max="4" width="9.375"/>
    <col min="5" max="6" width="12.625"/>
    <col min="7" max="7" width="9.375"/>
  </cols>
  <sheetData>
    <row r="1" spans="1:7" ht="15.75" customHeight="1" x14ac:dyDescent="0.15">
      <c r="A1" s="35" t="s">
        <v>0</v>
      </c>
      <c r="B1" s="34" t="s">
        <v>1</v>
      </c>
      <c r="C1" s="34"/>
      <c r="D1" s="34"/>
      <c r="E1" s="34" t="s">
        <v>2</v>
      </c>
      <c r="F1" s="34"/>
      <c r="G1" s="34"/>
    </row>
    <row r="2" spans="1:7" ht="14.25" x14ac:dyDescent="0.15">
      <c r="A2" s="35"/>
      <c r="B2" s="28" t="s">
        <v>3</v>
      </c>
      <c r="C2" s="28" t="s">
        <v>4</v>
      </c>
      <c r="D2" s="28" t="s">
        <v>5</v>
      </c>
      <c r="E2" s="28" t="s">
        <v>3</v>
      </c>
      <c r="F2" s="28" t="s">
        <v>4</v>
      </c>
      <c r="G2" s="28" t="s">
        <v>5</v>
      </c>
    </row>
    <row r="3" spans="1:7" ht="14.25" x14ac:dyDescent="0.15">
      <c r="A3" s="29">
        <v>2021</v>
      </c>
      <c r="B3" s="28">
        <v>7808.2</v>
      </c>
      <c r="C3" s="28">
        <v>47626.5</v>
      </c>
      <c r="D3" s="28">
        <v>37766.699999999997</v>
      </c>
      <c r="E3" s="28">
        <v>7926.5434999999998</v>
      </c>
      <c r="F3" s="28">
        <v>50606.1</v>
      </c>
      <c r="G3" s="28">
        <v>40052.800000000003</v>
      </c>
    </row>
    <row r="4" spans="1:7" ht="14.25" x14ac:dyDescent="0.15">
      <c r="A4" s="29">
        <v>2022</v>
      </c>
      <c r="B4" s="28">
        <v>8265.34</v>
      </c>
      <c r="C4" s="28">
        <v>46191.7</v>
      </c>
      <c r="D4" s="28">
        <v>35667.199999999997</v>
      </c>
      <c r="E4" s="28">
        <v>10540.953</v>
      </c>
      <c r="F4" s="28">
        <v>68958.100000000006</v>
      </c>
      <c r="G4" s="28">
        <v>54032.800000000003</v>
      </c>
    </row>
    <row r="5" spans="1:7" ht="14.25" x14ac:dyDescent="0.15">
      <c r="A5" s="29">
        <v>2023</v>
      </c>
      <c r="B5" s="28">
        <v>7237.96</v>
      </c>
      <c r="C5" s="28">
        <v>41093</v>
      </c>
      <c r="D5" s="28">
        <v>32113.4</v>
      </c>
      <c r="E5" s="28">
        <v>10354.905000000001</v>
      </c>
      <c r="F5" s="28">
        <v>68870.899999999994</v>
      </c>
      <c r="G5" s="28">
        <v>60576.3</v>
      </c>
    </row>
    <row r="6" spans="1:7" ht="14.25" x14ac:dyDescent="0.15">
      <c r="A6" s="29">
        <v>2024</v>
      </c>
      <c r="B6" s="28">
        <v>6356.32</v>
      </c>
      <c r="C6" s="28">
        <v>37054.5</v>
      </c>
      <c r="D6" s="28">
        <v>29306.799999999999</v>
      </c>
      <c r="E6" s="28">
        <v>11626.632</v>
      </c>
      <c r="F6" s="28">
        <v>79596.100000000006</v>
      </c>
      <c r="G6" s="28">
        <v>79038.8</v>
      </c>
    </row>
    <row r="7" spans="1:7" ht="14.25" x14ac:dyDescent="0.15">
      <c r="A7" s="29">
        <v>2025</v>
      </c>
      <c r="B7" s="28">
        <v>5550.44</v>
      </c>
      <c r="C7" s="28">
        <v>33617.9</v>
      </c>
      <c r="D7" s="28">
        <v>26910.2</v>
      </c>
      <c r="E7" s="28">
        <v>10710.13185</v>
      </c>
      <c r="F7" s="28">
        <v>84881.8</v>
      </c>
      <c r="G7" s="28">
        <v>94932.5</v>
      </c>
    </row>
    <row r="8" spans="1:7" ht="14.25" x14ac:dyDescent="0.15">
      <c r="A8" s="29">
        <v>2026</v>
      </c>
      <c r="B8" s="28">
        <v>4860.5200000000004</v>
      </c>
      <c r="C8" s="28">
        <v>30998.799999999999</v>
      </c>
      <c r="D8" s="28">
        <v>25113.5</v>
      </c>
      <c r="E8" s="28">
        <v>9698.1623999999993</v>
      </c>
      <c r="F8" s="28">
        <v>81180.7</v>
      </c>
      <c r="G8" s="28">
        <v>95736.3</v>
      </c>
    </row>
    <row r="9" spans="1:7" ht="14.25" x14ac:dyDescent="0.15">
      <c r="A9" s="29">
        <v>2027</v>
      </c>
      <c r="B9" s="28">
        <v>4256.3599999999997</v>
      </c>
      <c r="C9" s="28">
        <v>29042.1</v>
      </c>
      <c r="D9" s="28">
        <v>23812.5</v>
      </c>
      <c r="E9" s="28">
        <v>8248.4243999999999</v>
      </c>
      <c r="F9" s="28">
        <v>74276.2</v>
      </c>
      <c r="G9" s="28">
        <v>87593.8</v>
      </c>
    </row>
    <row r="10" spans="1:7" ht="14.25" x14ac:dyDescent="0.15">
      <c r="A10" s="29">
        <v>2028</v>
      </c>
      <c r="B10" s="28">
        <v>3737.9</v>
      </c>
      <c r="C10" s="28">
        <v>27826.799999999999</v>
      </c>
      <c r="D10" s="28">
        <v>23089.8</v>
      </c>
      <c r="E10" s="28">
        <v>6593.63004</v>
      </c>
      <c r="F10" s="28">
        <v>65229.3</v>
      </c>
      <c r="G10" s="28">
        <v>76924.7</v>
      </c>
    </row>
    <row r="11" spans="1:7" ht="14.25" x14ac:dyDescent="0.15">
      <c r="A11" s="29">
        <v>2029</v>
      </c>
      <c r="B11" s="28">
        <v>3263.99</v>
      </c>
      <c r="C11" s="28">
        <v>27203.4</v>
      </c>
      <c r="D11" s="28">
        <v>22676.799999999999</v>
      </c>
      <c r="E11" s="28">
        <v>5182.6517549999999</v>
      </c>
      <c r="F11" s="28">
        <v>58050.9</v>
      </c>
      <c r="G11" s="28">
        <v>68459.3</v>
      </c>
    </row>
    <row r="12" spans="1:7" ht="14.25" x14ac:dyDescent="0.15">
      <c r="A12" s="29">
        <v>2030</v>
      </c>
      <c r="B12" s="28">
        <v>2858.28</v>
      </c>
      <c r="C12" s="28">
        <v>27628.9</v>
      </c>
      <c r="D12" s="28">
        <v>23031.5</v>
      </c>
      <c r="E12" s="28">
        <v>4306.8838050000004</v>
      </c>
      <c r="F12" s="28">
        <v>56424.800000000003</v>
      </c>
      <c r="G12" s="28">
        <v>66541.600000000006</v>
      </c>
    </row>
    <row r="13" spans="1:7" x14ac:dyDescent="0.15">
      <c r="A13" s="30" t="s">
        <v>6</v>
      </c>
      <c r="B13" s="31">
        <f t="shared" ref="B13:G13" si="0">SUM(B3:B12)</f>
        <v>54195.31</v>
      </c>
      <c r="C13" s="31">
        <f t="shared" si="0"/>
        <v>348283.60000000003</v>
      </c>
      <c r="D13" s="31">
        <f t="shared" si="0"/>
        <v>279488.39999999997</v>
      </c>
      <c r="E13" s="31">
        <f>SUM(E3:E12)</f>
        <v>85188.917750000008</v>
      </c>
      <c r="F13" s="31">
        <f t="shared" si="0"/>
        <v>688074.90000000014</v>
      </c>
      <c r="G13" s="31">
        <f t="shared" si="0"/>
        <v>723888.9</v>
      </c>
    </row>
    <row r="17" spans="6:6" x14ac:dyDescent="0.15">
      <c r="F17">
        <f>E3</f>
        <v>7926.5434999999998</v>
      </c>
    </row>
    <row r="18" spans="6:6" x14ac:dyDescent="0.15">
      <c r="F18">
        <f t="shared" ref="F18:F26" si="1">E4*0.9</f>
        <v>9486.8577000000005</v>
      </c>
    </row>
    <row r="19" spans="6:6" x14ac:dyDescent="0.15">
      <c r="F19">
        <f t="shared" si="1"/>
        <v>9319.4145000000008</v>
      </c>
    </row>
    <row r="20" spans="6:6" x14ac:dyDescent="0.15">
      <c r="F20">
        <f t="shared" si="1"/>
        <v>10463.968800000001</v>
      </c>
    </row>
    <row r="21" spans="6:6" x14ac:dyDescent="0.15">
      <c r="F21">
        <f t="shared" si="1"/>
        <v>9639.118665</v>
      </c>
    </row>
    <row r="22" spans="6:6" x14ac:dyDescent="0.15">
      <c r="F22">
        <f t="shared" si="1"/>
        <v>8728.3461599999991</v>
      </c>
    </row>
    <row r="23" spans="6:6" x14ac:dyDescent="0.15">
      <c r="F23">
        <f t="shared" si="1"/>
        <v>7423.5819600000004</v>
      </c>
    </row>
    <row r="24" spans="6:6" x14ac:dyDescent="0.15">
      <c r="F24">
        <f t="shared" si="1"/>
        <v>5934.2670360000002</v>
      </c>
    </row>
    <row r="25" spans="6:6" x14ac:dyDescent="0.15">
      <c r="F25">
        <f t="shared" si="1"/>
        <v>4664.3865795000002</v>
      </c>
    </row>
    <row r="26" spans="6:6" x14ac:dyDescent="0.15">
      <c r="F26">
        <f t="shared" si="1"/>
        <v>3876.1954245000006</v>
      </c>
    </row>
  </sheetData>
  <mergeCells count="3">
    <mergeCell ref="B1:D1"/>
    <mergeCell ref="E1:G1"/>
    <mergeCell ref="A1:A2"/>
  </mergeCells>
  <phoneticPr fontId="4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S32"/>
  <sheetViews>
    <sheetView workbookViewId="0">
      <selection activeCell="T13" sqref="T13"/>
    </sheetView>
  </sheetViews>
  <sheetFormatPr defaultColWidth="9" defaultRowHeight="13.5" x14ac:dyDescent="0.15"/>
  <cols>
    <col min="1" max="1" width="19.25" customWidth="1"/>
    <col min="3" max="3" width="9" style="17"/>
    <col min="4" max="4" width="10" style="17" customWidth="1"/>
    <col min="5" max="5" width="11.5" style="17" customWidth="1"/>
    <col min="6" max="6" width="11.125" style="17" customWidth="1"/>
    <col min="7" max="10" width="10" style="17" customWidth="1"/>
    <col min="11" max="11" width="10.125" style="17" customWidth="1"/>
    <col min="12" max="15" width="11" style="17" customWidth="1"/>
    <col min="16" max="16" width="9.5" style="17" customWidth="1"/>
    <col min="17" max="17" width="10.625" style="17" customWidth="1"/>
    <col min="18" max="18" width="11.875" style="17" customWidth="1"/>
    <col min="19" max="19" width="9.875" style="17" customWidth="1"/>
    <col min="20" max="16373" width="9" style="17"/>
  </cols>
  <sheetData>
    <row r="1" spans="1:20" s="17" customFormat="1" x14ac:dyDescent="0.15"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20" s="17" customFormat="1" x14ac:dyDescent="0.15">
      <c r="A2" s="19" t="s">
        <v>7</v>
      </c>
      <c r="C2" s="41" t="s">
        <v>0</v>
      </c>
      <c r="D2" s="38" t="s">
        <v>8</v>
      </c>
      <c r="E2" s="38" t="s">
        <v>9</v>
      </c>
      <c r="F2" s="38" t="s">
        <v>10</v>
      </c>
      <c r="G2" s="38" t="s">
        <v>11</v>
      </c>
      <c r="H2" s="38" t="s">
        <v>12</v>
      </c>
      <c r="I2" s="38" t="s">
        <v>13</v>
      </c>
      <c r="J2" s="38" t="s">
        <v>14</v>
      </c>
      <c r="K2" s="38" t="s">
        <v>15</v>
      </c>
      <c r="L2" s="36" t="s">
        <v>16</v>
      </c>
      <c r="M2" s="36" t="s">
        <v>17</v>
      </c>
      <c r="N2" s="36" t="s">
        <v>18</v>
      </c>
      <c r="O2" s="36" t="s">
        <v>19</v>
      </c>
      <c r="P2" s="36" t="s">
        <v>20</v>
      </c>
      <c r="Q2" s="38" t="s">
        <v>21</v>
      </c>
      <c r="R2" s="38" t="s">
        <v>22</v>
      </c>
      <c r="S2" s="38" t="s">
        <v>23</v>
      </c>
    </row>
    <row r="3" spans="1:20" s="17" customFormat="1" x14ac:dyDescent="0.15">
      <c r="A3" s="18" t="s">
        <v>12</v>
      </c>
      <c r="C3" s="42"/>
      <c r="D3" s="39"/>
      <c r="E3" s="39"/>
      <c r="F3" s="39"/>
      <c r="G3" s="39"/>
      <c r="H3" s="39"/>
      <c r="I3" s="39"/>
      <c r="J3" s="39"/>
      <c r="K3" s="39"/>
      <c r="L3" s="37"/>
      <c r="M3" s="37"/>
      <c r="N3" s="37"/>
      <c r="O3" s="37"/>
      <c r="P3" s="37"/>
      <c r="Q3" s="39"/>
      <c r="R3" s="39"/>
      <c r="S3" s="39"/>
    </row>
    <row r="4" spans="1:20" s="17" customFormat="1" x14ac:dyDescent="0.15">
      <c r="A4" s="18">
        <v>0.12</v>
      </c>
      <c r="C4" s="20">
        <f>产量!A3</f>
        <v>2021</v>
      </c>
      <c r="D4" s="48">
        <v>118.30000000000018</v>
      </c>
      <c r="E4" s="21">
        <v>45</v>
      </c>
      <c r="F4" s="21">
        <v>2059</v>
      </c>
      <c r="G4" s="22">
        <f>D4*0.991*F4</f>
        <v>241387.48270000037</v>
      </c>
      <c r="H4" s="22">
        <f>G4*0.13</f>
        <v>31380.37275100005</v>
      </c>
      <c r="I4" s="22">
        <f>方案投资估算!E7</f>
        <v>1820000</v>
      </c>
      <c r="J4" s="22">
        <f>I4*0.13</f>
        <v>236600</v>
      </c>
      <c r="K4" s="22">
        <f>措施费用估算!L4*敏感性!$C$3</f>
        <v>1293400.0615384611</v>
      </c>
      <c r="L4" s="22">
        <f>增量成本估算!V4*敏感性!$E$3</f>
        <v>37307.22424999997</v>
      </c>
      <c r="M4" s="22">
        <f>(K4*0.8+L4*0.5)*0.13</f>
        <v>136938.57597624994</v>
      </c>
      <c r="N4" s="22">
        <f>H4-J4-M4</f>
        <v>-342158.20322524989</v>
      </c>
      <c r="O4" s="22">
        <f>IF(N4&lt;0,0,N4)</f>
        <v>0</v>
      </c>
      <c r="P4" s="22">
        <f>O4*0.12+G4*$A$12</f>
        <v>14483.248962000021</v>
      </c>
      <c r="Q4" s="22">
        <f>G4-I4-K4-L4-P4</f>
        <v>-2923803.0520504611</v>
      </c>
      <c r="R4" s="22">
        <f>NPV(0.12,$Q$4:Q4)</f>
        <v>-2610538.4393307688</v>
      </c>
      <c r="S4" s="25"/>
    </row>
    <row r="5" spans="1:20" s="17" customFormat="1" x14ac:dyDescent="0.15">
      <c r="A5" s="18" t="s">
        <v>24</v>
      </c>
      <c r="C5" s="20">
        <f>C4+1</f>
        <v>2022</v>
      </c>
      <c r="D5" s="48">
        <v>1821.5599999999995</v>
      </c>
      <c r="E5" s="21">
        <f>E4</f>
        <v>45</v>
      </c>
      <c r="F5" s="21">
        <v>2059</v>
      </c>
      <c r="G5" s="22">
        <f t="shared" ref="G5:G13" si="0">D5*0.991*F5</f>
        <v>3716836.7116399989</v>
      </c>
      <c r="H5" s="22">
        <f t="shared" ref="H5:H13" si="1">G5*0.13</f>
        <v>483188.77251319989</v>
      </c>
      <c r="I5" s="22"/>
      <c r="J5" s="22"/>
      <c r="K5" s="22">
        <f>措施费用估算!L5*敏感性!$C$3</f>
        <v>3723526.015384614</v>
      </c>
      <c r="L5" s="22">
        <f>增量成本估算!V5*敏感性!$E$3</f>
        <v>314394.40149999969</v>
      </c>
      <c r="M5" s="22">
        <f t="shared" ref="M5:M13" si="2">(K5*0.8+L5*0.5)*0.13</f>
        <v>407682.34169749985</v>
      </c>
      <c r="N5" s="22">
        <f>H5-J5-M5+N4</f>
        <v>-266651.77240954986</v>
      </c>
      <c r="O5" s="22">
        <f>IF(N5&lt;0,0,N5)</f>
        <v>0</v>
      </c>
      <c r="P5" s="22">
        <f t="shared" ref="P5:P13" si="3">O5*0.12+G5*$A$12</f>
        <v>223010.20269839992</v>
      </c>
      <c r="Q5" s="22">
        <f t="shared" ref="Q5:Q13" si="4">G5-I5-K5-L5-P5</f>
        <v>-544093.90794301464</v>
      </c>
      <c r="R5" s="22">
        <f>NPV(0.12,$Q$4:Q5)</f>
        <v>-3044286.7715557483</v>
      </c>
      <c r="S5" s="25" t="e">
        <f>IRR($Q$4:Q5)</f>
        <v>#NUM!</v>
      </c>
    </row>
    <row r="6" spans="1:20" s="17" customFormat="1" x14ac:dyDescent="0.15">
      <c r="A6" s="18">
        <v>0.12</v>
      </c>
      <c r="C6" s="20">
        <f t="shared" ref="C6:C13" si="5">C5+1</f>
        <v>2023</v>
      </c>
      <c r="D6" s="48">
        <v>2081.4399999999996</v>
      </c>
      <c r="E6" s="21">
        <f t="shared" ref="E6:E13" si="6">E5</f>
        <v>45</v>
      </c>
      <c r="F6" s="21">
        <v>2059</v>
      </c>
      <c r="G6" s="22">
        <f t="shared" si="0"/>
        <v>4247113.7953599999</v>
      </c>
      <c r="H6" s="22">
        <f t="shared" si="1"/>
        <v>552124.79339680006</v>
      </c>
      <c r="I6" s="22"/>
      <c r="J6" s="22"/>
      <c r="K6" s="22">
        <f>措施费用估算!L6*敏感性!$C$3</f>
        <v>2112100.9076923071</v>
      </c>
      <c r="L6" s="22">
        <f>增量成本估算!V6*敏感性!$E$3</f>
        <v>443368.24750000006</v>
      </c>
      <c r="M6" s="22">
        <f t="shared" si="2"/>
        <v>248477.43048749998</v>
      </c>
      <c r="N6" s="22">
        <f>H6-J6-M6+N5</f>
        <v>36995.590499750222</v>
      </c>
      <c r="O6" s="22">
        <f>N6</f>
        <v>36995.590499750222</v>
      </c>
      <c r="P6" s="22">
        <f t="shared" si="3"/>
        <v>259266.29858157001</v>
      </c>
      <c r="Q6" s="22">
        <f t="shared" si="4"/>
        <v>1432378.3415861228</v>
      </c>
      <c r="R6" s="22">
        <f>NPV(0.12,$Q$4:Q6)</f>
        <v>-2024748.1606190149</v>
      </c>
      <c r="S6" s="25">
        <f>IRR($Q$4:Q6)</f>
        <v>-0.38695780203488894</v>
      </c>
    </row>
    <row r="7" spans="1:20" s="17" customFormat="1" x14ac:dyDescent="0.15">
      <c r="A7" s="18" t="s">
        <v>25</v>
      </c>
      <c r="C7" s="20">
        <f t="shared" si="5"/>
        <v>2024</v>
      </c>
      <c r="D7" s="48">
        <v>4107.68</v>
      </c>
      <c r="E7" s="21">
        <f t="shared" si="6"/>
        <v>45</v>
      </c>
      <c r="F7" s="21">
        <v>2059</v>
      </c>
      <c r="G7" s="22">
        <f t="shared" si="0"/>
        <v>8381593.7019199999</v>
      </c>
      <c r="H7" s="22">
        <f t="shared" si="1"/>
        <v>1089607.1812496001</v>
      </c>
      <c r="I7" s="22"/>
      <c r="J7" s="22"/>
      <c r="K7" s="22">
        <f>措施费用估算!L7*敏感性!$C$3</f>
        <v>1875181.6769230773</v>
      </c>
      <c r="L7" s="22">
        <f>增量成本估算!V7*敏感性!$E$3</f>
        <v>741985.83600000013</v>
      </c>
      <c r="M7" s="22">
        <f t="shared" si="2"/>
        <v>243247.97374000004</v>
      </c>
      <c r="N7" s="22">
        <f t="shared" ref="N7:N13" si="7">H7-J7-M7</f>
        <v>846359.20750960009</v>
      </c>
      <c r="O7" s="22">
        <f t="shared" ref="O7:O13" si="8">N7</f>
        <v>846359.20750960009</v>
      </c>
      <c r="P7" s="22">
        <f t="shared" si="3"/>
        <v>604458.727016352</v>
      </c>
      <c r="Q7" s="22">
        <f t="shared" si="4"/>
        <v>5159967.4619805701</v>
      </c>
      <c r="R7" s="22">
        <f>NPV(0.12,$Q$4:Q7)</f>
        <v>1254504.4454503304</v>
      </c>
      <c r="S7" s="25">
        <f>IRR($Q$4:Q7)</f>
        <v>0.27792473609800772</v>
      </c>
    </row>
    <row r="8" spans="1:20" s="17" customFormat="1" ht="14.1" customHeight="1" x14ac:dyDescent="0.15">
      <c r="A8" s="18">
        <v>0</v>
      </c>
      <c r="C8" s="20">
        <f t="shared" si="5"/>
        <v>2025</v>
      </c>
      <c r="D8" s="48">
        <v>4088.6600000000008</v>
      </c>
      <c r="E8" s="21">
        <f t="shared" si="6"/>
        <v>45</v>
      </c>
      <c r="F8" s="21">
        <v>2059</v>
      </c>
      <c r="G8" s="22">
        <f t="shared" si="0"/>
        <v>8342783.9815400019</v>
      </c>
      <c r="H8" s="22">
        <f t="shared" si="1"/>
        <v>1084561.9176002003</v>
      </c>
      <c r="I8" s="22"/>
      <c r="J8" s="22"/>
      <c r="K8" s="22">
        <f>措施费用估算!L8*敏感性!$C$3</f>
        <v>1106363.7230769228</v>
      </c>
      <c r="L8" s="22">
        <f>增量成本估算!V8*敏感性!$E$3</f>
        <v>948495.42367499974</v>
      </c>
      <c r="M8" s="22">
        <f t="shared" si="2"/>
        <v>176714.02973887499</v>
      </c>
      <c r="N8" s="22">
        <f t="shared" si="7"/>
        <v>907847.88786132529</v>
      </c>
      <c r="O8" s="22">
        <f t="shared" si="8"/>
        <v>907847.88786132529</v>
      </c>
      <c r="P8" s="22">
        <f t="shared" si="3"/>
        <v>609508.78543575911</v>
      </c>
      <c r="Q8" s="22">
        <f t="shared" si="4"/>
        <v>5678416.0493523199</v>
      </c>
      <c r="R8" s="22">
        <f>NPV(0.12,$Q$4:Q8)</f>
        <v>4476590.2097963477</v>
      </c>
      <c r="S8" s="25">
        <f>IRR($Q$4:Q8)</f>
        <v>0.50009345678888573</v>
      </c>
    </row>
    <row r="9" spans="1:20" s="17" customFormat="1" x14ac:dyDescent="0.15">
      <c r="A9" s="18" t="s">
        <v>26</v>
      </c>
      <c r="C9" s="20">
        <f t="shared" si="5"/>
        <v>2026</v>
      </c>
      <c r="D9" s="48">
        <v>3867.7799999999988</v>
      </c>
      <c r="E9" s="21">
        <f t="shared" si="6"/>
        <v>45</v>
      </c>
      <c r="F9" s="21">
        <v>2059</v>
      </c>
      <c r="G9" s="22">
        <f t="shared" si="0"/>
        <v>7892085.1888199979</v>
      </c>
      <c r="H9" s="22">
        <f t="shared" si="1"/>
        <v>1025971.0745465998</v>
      </c>
      <c r="I9" s="22"/>
      <c r="J9" s="22"/>
      <c r="K9" s="22">
        <f>措施费用估算!L9*敏感性!$C$3</f>
        <v>0</v>
      </c>
      <c r="L9" s="22">
        <f>增量成本估算!V9*敏感性!$E$3</f>
        <v>961498.15719999978</v>
      </c>
      <c r="M9" s="22">
        <f t="shared" si="2"/>
        <v>62497.380217999991</v>
      </c>
      <c r="N9" s="22">
        <f t="shared" si="7"/>
        <v>963473.69432859973</v>
      </c>
      <c r="O9" s="22">
        <f t="shared" si="8"/>
        <v>963473.69432859973</v>
      </c>
      <c r="P9" s="22">
        <f t="shared" si="3"/>
        <v>589141.95464863186</v>
      </c>
      <c r="Q9" s="22">
        <f t="shared" si="4"/>
        <v>6341445.0769713661</v>
      </c>
      <c r="R9" s="22">
        <f>NPV(0.12,$Q$4:Q9)</f>
        <v>7689363.6390267517</v>
      </c>
      <c r="S9" s="25">
        <f>IRR($Q$4:Q9)</f>
        <v>0.60388120561995451</v>
      </c>
    </row>
    <row r="10" spans="1:20" s="17" customFormat="1" x14ac:dyDescent="0.15">
      <c r="A10" s="18">
        <v>0</v>
      </c>
      <c r="C10" s="20">
        <f t="shared" si="5"/>
        <v>2027</v>
      </c>
      <c r="D10" s="48">
        <v>3167.2400000000007</v>
      </c>
      <c r="E10" s="21">
        <f t="shared" si="6"/>
        <v>45</v>
      </c>
      <c r="F10" s="21">
        <v>2059</v>
      </c>
      <c r="G10" s="22">
        <f t="shared" si="0"/>
        <v>6462655.0355600007</v>
      </c>
      <c r="H10" s="22">
        <f t="shared" si="1"/>
        <v>840145.15462280007</v>
      </c>
      <c r="I10" s="22"/>
      <c r="J10" s="22"/>
      <c r="K10" s="22">
        <f>措施费用估算!L10*敏感性!$C$3</f>
        <v>0</v>
      </c>
      <c r="L10" s="22">
        <f>增量成本估算!V10*敏感性!$E$3</f>
        <v>862079.19819999998</v>
      </c>
      <c r="M10" s="22">
        <f t="shared" si="2"/>
        <v>56035.147882999998</v>
      </c>
      <c r="N10" s="22">
        <f t="shared" si="7"/>
        <v>784110.0067398001</v>
      </c>
      <c r="O10" s="22">
        <f t="shared" si="8"/>
        <v>784110.0067398001</v>
      </c>
      <c r="P10" s="22">
        <f t="shared" si="3"/>
        <v>481852.50294237607</v>
      </c>
      <c r="Q10" s="22">
        <f t="shared" si="4"/>
        <v>5118723.3344176244</v>
      </c>
      <c r="R10" s="22">
        <f>NPV(0.12,$Q$4:Q10)</f>
        <v>10004814.12287721</v>
      </c>
      <c r="S10" s="25">
        <f>IRR($Q$4:Q10)</f>
        <v>0.64416923821330707</v>
      </c>
      <c r="T10" s="32" t="s">
        <v>82</v>
      </c>
    </row>
    <row r="11" spans="1:20" s="17" customFormat="1" x14ac:dyDescent="0.15">
      <c r="A11" s="18" t="s">
        <v>27</v>
      </c>
      <c r="C11" s="20">
        <f t="shared" si="5"/>
        <v>2028</v>
      </c>
      <c r="D11" s="48">
        <v>2196.4</v>
      </c>
      <c r="E11" s="21">
        <f t="shared" si="6"/>
        <v>45</v>
      </c>
      <c r="F11" s="21">
        <v>2059</v>
      </c>
      <c r="G11" s="22">
        <f t="shared" si="0"/>
        <v>4481686.1115999995</v>
      </c>
      <c r="H11" s="22">
        <f t="shared" si="1"/>
        <v>582619.19450799993</v>
      </c>
      <c r="I11" s="22"/>
      <c r="J11" s="22"/>
      <c r="K11" s="22">
        <f>措施费用估算!L11*敏感性!$C$3</f>
        <v>0</v>
      </c>
      <c r="L11" s="22">
        <f>增量成本估算!V11*敏感性!$E$3</f>
        <v>715790.4156200001</v>
      </c>
      <c r="M11" s="22">
        <f t="shared" si="2"/>
        <v>46526.377015300008</v>
      </c>
      <c r="N11" s="22">
        <f t="shared" si="7"/>
        <v>536092.81749269995</v>
      </c>
      <c r="O11" s="22">
        <f t="shared" si="8"/>
        <v>536092.81749269995</v>
      </c>
      <c r="P11" s="22">
        <f t="shared" si="3"/>
        <v>333232.30479512399</v>
      </c>
      <c r="Q11" s="22">
        <f t="shared" si="4"/>
        <v>3432663.3911848753</v>
      </c>
      <c r="R11" s="22">
        <f>NPV(0.12,$Q$4:Q11)</f>
        <v>11391209.293875566</v>
      </c>
      <c r="S11" s="25">
        <f>IRR($Q$4:Q11)</f>
        <v>0.65868157691809959</v>
      </c>
    </row>
    <row r="12" spans="1:20" s="17" customFormat="1" x14ac:dyDescent="0.15">
      <c r="A12" s="18">
        <v>0.06</v>
      </c>
      <c r="C12" s="20">
        <f t="shared" si="5"/>
        <v>2029</v>
      </c>
      <c r="D12" s="48">
        <v>1400.4099999999999</v>
      </c>
      <c r="E12" s="21">
        <f t="shared" si="6"/>
        <v>45</v>
      </c>
      <c r="F12" s="21">
        <v>2059</v>
      </c>
      <c r="G12" s="22">
        <f t="shared" si="0"/>
        <v>2857493.1922899997</v>
      </c>
      <c r="H12" s="22">
        <f t="shared" si="1"/>
        <v>371474.11499769997</v>
      </c>
      <c r="I12" s="22"/>
      <c r="J12" s="22"/>
      <c r="K12" s="22">
        <f>措施费用估算!L12*敏感性!$C$3</f>
        <v>0</v>
      </c>
      <c r="L12" s="22">
        <f>增量成本估算!V12*敏感性!$E$3</f>
        <v>596019.25720250001</v>
      </c>
      <c r="M12" s="22">
        <f t="shared" si="2"/>
        <v>38741.251718162501</v>
      </c>
      <c r="N12" s="22">
        <f t="shared" si="7"/>
        <v>332732.86327953747</v>
      </c>
      <c r="O12" s="22">
        <f t="shared" si="8"/>
        <v>332732.86327953747</v>
      </c>
      <c r="P12" s="22">
        <f t="shared" si="3"/>
        <v>211377.53513094445</v>
      </c>
      <c r="Q12" s="22">
        <f t="shared" si="4"/>
        <v>2050096.3999565551</v>
      </c>
      <c r="R12" s="22">
        <f>NPV(0.12,$Q$4:Q12)</f>
        <v>12130494.607878545</v>
      </c>
      <c r="S12" s="25">
        <f>IRR($Q$4:Q12)</f>
        <v>0.66363061573803028</v>
      </c>
    </row>
    <row r="13" spans="1:20" s="17" customFormat="1" x14ac:dyDescent="0.15">
      <c r="A13" s="18"/>
      <c r="C13" s="20">
        <f t="shared" si="5"/>
        <v>2030</v>
      </c>
      <c r="D13" s="48">
        <v>1017.9199999999996</v>
      </c>
      <c r="E13" s="21">
        <f t="shared" si="6"/>
        <v>45</v>
      </c>
      <c r="F13" s="21">
        <v>2059</v>
      </c>
      <c r="G13" s="22">
        <f t="shared" si="0"/>
        <v>2077034.2044799991</v>
      </c>
      <c r="H13" s="22">
        <f t="shared" si="1"/>
        <v>270014.44658239989</v>
      </c>
      <c r="I13" s="22"/>
      <c r="J13" s="22"/>
      <c r="K13" s="22">
        <f>措施费用估算!L13*敏感性!$C$3</f>
        <v>0</v>
      </c>
      <c r="L13" s="22">
        <f>增量成本估算!V13*敏感性!$E$3</f>
        <v>558023.75897750026</v>
      </c>
      <c r="M13" s="22">
        <f t="shared" si="2"/>
        <v>36271.544333537517</v>
      </c>
      <c r="N13" s="22">
        <f t="shared" si="7"/>
        <v>233742.90224886237</v>
      </c>
      <c r="O13" s="22">
        <f t="shared" si="8"/>
        <v>233742.90224886237</v>
      </c>
      <c r="P13" s="22">
        <f t="shared" si="3"/>
        <v>152671.20053866343</v>
      </c>
      <c r="Q13" s="22">
        <f t="shared" si="4"/>
        <v>1366339.2449638355</v>
      </c>
      <c r="R13" s="22">
        <f>NPV(0.12,$Q$4:Q13)</f>
        <v>12570419.276860438</v>
      </c>
      <c r="S13" s="25">
        <f>IRR($Q$4:Q13)</f>
        <v>0.66556774699399224</v>
      </c>
      <c r="T13" s="33">
        <f>IRR(Q4:Q13)</f>
        <v>0.66556774699399224</v>
      </c>
    </row>
    <row r="14" spans="1:20" s="17" customFormat="1" x14ac:dyDescent="0.15">
      <c r="D14" s="2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6"/>
      <c r="R14" s="24"/>
    </row>
    <row r="15" spans="1:20" s="17" customFormat="1" x14ac:dyDescent="0.15">
      <c r="Q15" s="27"/>
    </row>
    <row r="20" spans="3:16" x14ac:dyDescent="0.15">
      <c r="C20" s="48"/>
    </row>
    <row r="21" spans="3:16" x14ac:dyDescent="0.15">
      <c r="C21" s="48"/>
    </row>
    <row r="22" spans="3:16" x14ac:dyDescent="0.15">
      <c r="C22" s="48"/>
    </row>
    <row r="23" spans="3:16" x14ac:dyDescent="0.15">
      <c r="C23" s="48"/>
    </row>
    <row r="24" spans="3:16" x14ac:dyDescent="0.15">
      <c r="C24" s="48"/>
    </row>
    <row r="25" spans="3:16" x14ac:dyDescent="0.15">
      <c r="C25" s="48"/>
    </row>
    <row r="26" spans="3:16" x14ac:dyDescent="0.15">
      <c r="C26" s="48"/>
    </row>
    <row r="27" spans="3:16" x14ac:dyDescent="0.15">
      <c r="C27" s="48"/>
    </row>
    <row r="28" spans="3:16" x14ac:dyDescent="0.15">
      <c r="C28" s="48"/>
    </row>
    <row r="29" spans="3:16" x14ac:dyDescent="0.15">
      <c r="C29" s="48"/>
    </row>
    <row r="31" spans="3:16" x14ac:dyDescent="0.15">
      <c r="P31" s="17">
        <v>6.3549294492472068</v>
      </c>
    </row>
    <row r="32" spans="3:16" x14ac:dyDescent="0.15">
      <c r="P32" s="17">
        <f>F13/P31/7.2</f>
        <v>45.000062472148763</v>
      </c>
    </row>
  </sheetData>
  <mergeCells count="18">
    <mergeCell ref="S2:S3"/>
    <mergeCell ref="C1:S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honeticPr fontId="4" type="noConversion"/>
  <dataValidations count="1">
    <dataValidation type="list" allowBlank="1" showInputMessage="1" showErrorMessage="1" sqref="D1" xr:uid="{00000000-0002-0000-0100-000000000000}">
      <formula1>"1,2"</formula1>
    </dataValidation>
  </dataValidation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workbookViewId="0">
      <selection activeCell="B1" sqref="B1:E7"/>
    </sheetView>
  </sheetViews>
  <sheetFormatPr defaultColWidth="9" defaultRowHeight="13.5" x14ac:dyDescent="0.15"/>
  <cols>
    <col min="2" max="2" width="21.125" customWidth="1"/>
    <col min="5" max="5" width="11.125" customWidth="1"/>
  </cols>
  <sheetData>
    <row r="1" spans="2:5" x14ac:dyDescent="0.15">
      <c r="B1" s="43" t="s">
        <v>28</v>
      </c>
      <c r="C1" s="43"/>
      <c r="D1" s="43"/>
      <c r="E1" s="43"/>
    </row>
    <row r="2" spans="2:5" ht="33" customHeight="1" x14ac:dyDescent="0.15">
      <c r="B2" s="16" t="s">
        <v>29</v>
      </c>
      <c r="C2" s="4" t="s">
        <v>30</v>
      </c>
      <c r="D2" s="4" t="s">
        <v>31</v>
      </c>
      <c r="E2" s="5" t="s">
        <v>32</v>
      </c>
    </row>
    <row r="3" spans="2:5" ht="21" customHeight="1" x14ac:dyDescent="0.15">
      <c r="B3" s="16" t="s">
        <v>33</v>
      </c>
      <c r="C3" s="4" t="s">
        <v>34</v>
      </c>
      <c r="D3" s="4">
        <v>1</v>
      </c>
      <c r="E3" s="4">
        <f>7*10000*6.5</f>
        <v>455000</v>
      </c>
    </row>
    <row r="4" spans="2:5" ht="21" customHeight="1" x14ac:dyDescent="0.15">
      <c r="B4" s="16" t="s">
        <v>35</v>
      </c>
      <c r="C4" s="4" t="s">
        <v>34</v>
      </c>
      <c r="D4" s="4">
        <v>1</v>
      </c>
      <c r="E4" s="4">
        <f>3*10000*6.5</f>
        <v>195000</v>
      </c>
    </row>
    <row r="5" spans="2:5" ht="21" customHeight="1" x14ac:dyDescent="0.15">
      <c r="B5" s="16" t="s">
        <v>36</v>
      </c>
      <c r="C5" s="4" t="s">
        <v>34</v>
      </c>
      <c r="D5" s="4">
        <v>1</v>
      </c>
      <c r="E5" s="4">
        <f>6*10000*6.5</f>
        <v>390000</v>
      </c>
    </row>
    <row r="6" spans="2:5" ht="21" customHeight="1" x14ac:dyDescent="0.15">
      <c r="B6" s="16" t="s">
        <v>37</v>
      </c>
      <c r="C6" s="4" t="s">
        <v>34</v>
      </c>
      <c r="D6" s="4">
        <v>1</v>
      </c>
      <c r="E6" s="4">
        <f>12*10000*6.5</f>
        <v>780000</v>
      </c>
    </row>
    <row r="7" spans="2:5" ht="21" customHeight="1" x14ac:dyDescent="0.15">
      <c r="B7" s="16" t="s">
        <v>6</v>
      </c>
      <c r="C7" s="4"/>
      <c r="D7" s="4"/>
      <c r="E7" s="4">
        <f>SUM(E3:E6)</f>
        <v>1820000</v>
      </c>
    </row>
  </sheetData>
  <mergeCells count="1">
    <mergeCell ref="B1:E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>
      <selection activeCell="C2" sqref="C2:K8"/>
    </sheetView>
  </sheetViews>
  <sheetFormatPr defaultColWidth="9" defaultRowHeight="13.5" x14ac:dyDescent="0.15"/>
  <cols>
    <col min="1" max="2" width="14" customWidth="1"/>
    <col min="5" max="5" width="14.125" customWidth="1"/>
    <col min="6" max="6" width="12.75" customWidth="1"/>
    <col min="7" max="10" width="9.125" customWidth="1"/>
    <col min="12" max="12" width="10" customWidth="1"/>
    <col min="14" max="14" width="12.375" customWidth="1"/>
  </cols>
  <sheetData>
    <row r="1" spans="1:14" x14ac:dyDescent="0.15">
      <c r="A1" s="15" t="s">
        <v>38</v>
      </c>
      <c r="C1" s="43" t="s">
        <v>39</v>
      </c>
      <c r="D1" s="43"/>
      <c r="E1" s="43"/>
      <c r="F1" s="43"/>
      <c r="G1" s="43"/>
      <c r="H1" s="43"/>
      <c r="I1" s="43"/>
      <c r="J1" s="43"/>
      <c r="K1" s="43"/>
      <c r="L1" s="43"/>
    </row>
    <row r="2" spans="1:14" x14ac:dyDescent="0.15">
      <c r="A2" s="12" t="s">
        <v>40</v>
      </c>
      <c r="C2" s="44" t="s">
        <v>0</v>
      </c>
      <c r="D2" s="44" t="s">
        <v>41</v>
      </c>
      <c r="E2" s="44"/>
      <c r="F2" s="44"/>
      <c r="G2" s="44"/>
      <c r="H2" s="44"/>
      <c r="I2" s="44"/>
      <c r="J2" s="44"/>
      <c r="K2" s="44"/>
      <c r="L2" s="45" t="s">
        <v>42</v>
      </c>
    </row>
    <row r="3" spans="1:14" x14ac:dyDescent="0.15">
      <c r="A3" s="12" t="s">
        <v>43</v>
      </c>
      <c r="C3" s="44"/>
      <c r="D3" s="8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45"/>
    </row>
    <row r="4" spans="1:14" x14ac:dyDescent="0.15">
      <c r="A4" s="12" t="s">
        <v>52</v>
      </c>
      <c r="C4" s="8">
        <f>评价模型!C4</f>
        <v>2021</v>
      </c>
      <c r="D4" s="8">
        <v>1</v>
      </c>
      <c r="E4" s="8">
        <v>2</v>
      </c>
      <c r="F4" s="8">
        <v>1</v>
      </c>
      <c r="G4" s="8"/>
      <c r="H4" s="8"/>
      <c r="I4" s="8"/>
      <c r="J4" s="8"/>
      <c r="K4" s="8">
        <v>2</v>
      </c>
      <c r="L4" s="8">
        <f>(D4*$A$8+E4*$A$10+F4*$A$16+G4*$A$12+H4*$A$14+I4*$A$18+J4*$A$20+K4*$A$22)*$A$6</f>
        <v>1293400.0615384611</v>
      </c>
      <c r="N4">
        <v>1246872.8769230801</v>
      </c>
    </row>
    <row r="5" spans="1:14" x14ac:dyDescent="0.15">
      <c r="A5" s="12" t="s">
        <v>53</v>
      </c>
      <c r="C5" s="8">
        <f>评价模型!C5</f>
        <v>2022</v>
      </c>
      <c r="D5" s="8">
        <v>2</v>
      </c>
      <c r="E5" s="8">
        <v>2</v>
      </c>
      <c r="F5" s="8">
        <v>1</v>
      </c>
      <c r="G5" s="8"/>
      <c r="H5" s="8">
        <v>1</v>
      </c>
      <c r="I5" s="8">
        <v>2</v>
      </c>
      <c r="J5" s="8"/>
      <c r="K5" s="8">
        <v>2</v>
      </c>
      <c r="L5" s="8">
        <f>(D5*$A$8+E5*$A$10+F5*$A$16+G5*$A$12+H5*$A$14+I5*$A$18+J5*$A$20+K5*$A$22)*$A$6</f>
        <v>3723526.015384614</v>
      </c>
      <c r="N5">
        <v>2426608.9076923099</v>
      </c>
    </row>
    <row r="6" spans="1:14" x14ac:dyDescent="0.15">
      <c r="A6" s="12">
        <v>1</v>
      </c>
      <c r="C6" s="8">
        <f>评价模型!C6</f>
        <v>2023</v>
      </c>
      <c r="D6" s="8">
        <v>2</v>
      </c>
      <c r="E6" s="8">
        <v>3</v>
      </c>
      <c r="F6" s="8">
        <v>1</v>
      </c>
      <c r="G6" s="8">
        <v>2</v>
      </c>
      <c r="H6" s="8"/>
      <c r="I6" s="8"/>
      <c r="J6" s="8">
        <v>1</v>
      </c>
      <c r="K6" s="8">
        <v>2</v>
      </c>
      <c r="L6" s="8">
        <f>(D6*$A$8+E6*$A$10+F6*$A$16+G6*$A$12+H6*$A$14+I6*$A$18+J6*$A$20+K6*$A$22)*$A$6</f>
        <v>2112100.9076923071</v>
      </c>
      <c r="N6">
        <v>1540720.07692308</v>
      </c>
    </row>
    <row r="7" spans="1:14" x14ac:dyDescent="0.15">
      <c r="A7" s="12" t="s">
        <v>54</v>
      </c>
      <c r="C7" s="8">
        <f>评价模型!C7</f>
        <v>2024</v>
      </c>
      <c r="D7" s="8">
        <v>2</v>
      </c>
      <c r="E7" s="8">
        <v>1</v>
      </c>
      <c r="F7" s="8"/>
      <c r="G7" s="8"/>
      <c r="H7" s="8">
        <v>2</v>
      </c>
      <c r="I7" s="8"/>
      <c r="J7" s="8"/>
      <c r="K7" s="8">
        <v>2</v>
      </c>
      <c r="L7" s="8">
        <f>(D7*$A$8+E7*$A$10+F7*$A$16+G7*$A$12+H7*$A$14+I7*$A$18+J7*$A$20+K7*$A$22)*$A$6</f>
        <v>1875181.6769230773</v>
      </c>
      <c r="N7">
        <v>989182.64615384606</v>
      </c>
    </row>
    <row r="8" spans="1:14" x14ac:dyDescent="0.15">
      <c r="A8" s="12">
        <f>B8</f>
        <v>524853.64615384606</v>
      </c>
      <c r="B8">
        <v>524853.64615384606</v>
      </c>
      <c r="C8" s="8">
        <f>评价模型!C8</f>
        <v>2025</v>
      </c>
      <c r="D8" s="8">
        <v>2</v>
      </c>
      <c r="E8" s="8"/>
      <c r="F8" s="8"/>
      <c r="G8" s="8"/>
      <c r="H8" s="8"/>
      <c r="I8" s="8"/>
      <c r="J8" s="8"/>
      <c r="K8" s="8">
        <v>2</v>
      </c>
      <c r="L8" s="8">
        <f>(D8*$A$8+E8*$A$10+F8*$A$16+G8*$A$12+H8*$A$14+I8*$A$18+J8*$A$20+K8*$A$22)*$A$6</f>
        <v>1106363.7230769228</v>
      </c>
      <c r="N8">
        <v>1106363.72307692</v>
      </c>
    </row>
    <row r="9" spans="1:14" x14ac:dyDescent="0.15">
      <c r="A9" s="12" t="s">
        <v>55</v>
      </c>
      <c r="C9" s="8">
        <f>评价模型!C9</f>
        <v>2026</v>
      </c>
      <c r="D9" s="8"/>
      <c r="E9" s="8"/>
      <c r="F9" s="8"/>
      <c r="G9" s="8"/>
      <c r="H9" s="8"/>
      <c r="I9" s="8"/>
      <c r="J9" s="8"/>
      <c r="K9" s="8"/>
      <c r="L9" s="8"/>
    </row>
    <row r="10" spans="1:14" x14ac:dyDescent="0.15">
      <c r="A10" s="12">
        <f>B10</f>
        <v>46527.184615384598</v>
      </c>
      <c r="B10">
        <v>46527.184615384598</v>
      </c>
      <c r="C10" s="8">
        <f>评价模型!C10</f>
        <v>2027</v>
      </c>
      <c r="D10" s="8"/>
      <c r="E10" s="8"/>
      <c r="F10" s="8"/>
      <c r="G10" s="8"/>
      <c r="H10" s="8"/>
      <c r="I10" s="8"/>
      <c r="J10" s="8"/>
      <c r="K10" s="8"/>
      <c r="L10" s="8"/>
    </row>
    <row r="11" spans="1:14" x14ac:dyDescent="0.15">
      <c r="A11" s="12" t="s">
        <v>47</v>
      </c>
      <c r="C11" s="8">
        <f>评价模型!C11</f>
        <v>2028</v>
      </c>
      <c r="D11" s="8"/>
      <c r="E11" s="8"/>
      <c r="F11" s="8"/>
      <c r="G11" s="8"/>
      <c r="H11" s="8"/>
      <c r="I11" s="8"/>
      <c r="J11" s="8"/>
      <c r="K11" s="8"/>
      <c r="L11" s="8"/>
    </row>
    <row r="12" spans="1:14" x14ac:dyDescent="0.15">
      <c r="A12" s="12">
        <f>B12</f>
        <v>46527.184615384598</v>
      </c>
      <c r="B12">
        <v>46527.184615384598</v>
      </c>
      <c r="C12" s="8">
        <f>评价模型!C12</f>
        <v>2029</v>
      </c>
      <c r="D12" s="8"/>
      <c r="E12" s="8"/>
      <c r="F12" s="8"/>
      <c r="G12" s="8"/>
      <c r="H12" s="8"/>
      <c r="I12" s="8"/>
      <c r="J12" s="8"/>
      <c r="K12" s="8"/>
      <c r="L12" s="8"/>
    </row>
    <row r="13" spans="1:14" x14ac:dyDescent="0.15">
      <c r="A13" s="12" t="s">
        <v>48</v>
      </c>
      <c r="C13" s="8">
        <f>评价模型!C13</f>
        <v>2030</v>
      </c>
      <c r="D13" s="8"/>
      <c r="E13" s="8"/>
      <c r="F13" s="8"/>
      <c r="G13" s="8"/>
      <c r="H13" s="8"/>
      <c r="I13" s="8"/>
      <c r="J13" s="8"/>
      <c r="K13" s="8"/>
      <c r="L13" s="8"/>
    </row>
    <row r="14" spans="1:14" x14ac:dyDescent="0.15">
      <c r="A14" s="12">
        <f>B14</f>
        <v>361145.38461538497</v>
      </c>
      <c r="B14">
        <v>361145.38461538497</v>
      </c>
    </row>
    <row r="15" spans="1:14" x14ac:dyDescent="0.15">
      <c r="A15" s="12" t="s">
        <v>46</v>
      </c>
    </row>
    <row r="16" spans="1:14" x14ac:dyDescent="0.15">
      <c r="A16" s="12">
        <f>B16</f>
        <v>618835.61538461503</v>
      </c>
      <c r="B16">
        <v>618835.61538461503</v>
      </c>
    </row>
    <row r="17" spans="1:15" x14ac:dyDescent="0.15">
      <c r="A17" s="12" t="s">
        <v>56</v>
      </c>
    </row>
    <row r="18" spans="1:15" x14ac:dyDescent="0.15">
      <c r="A18" s="12">
        <f>B18</f>
        <v>772063.46153846104</v>
      </c>
      <c r="B18">
        <v>772063.46153846104</v>
      </c>
    </row>
    <row r="19" spans="1:15" x14ac:dyDescent="0.15">
      <c r="A19" s="12" t="s">
        <v>57</v>
      </c>
    </row>
    <row r="20" spans="1:15" x14ac:dyDescent="0.15">
      <c r="A20" s="12">
        <f>B20</f>
        <v>154265.646153846</v>
      </c>
      <c r="B20">
        <v>154265.646153846</v>
      </c>
    </row>
    <row r="21" spans="1:15" x14ac:dyDescent="0.15">
      <c r="A21" s="12" t="s">
        <v>51</v>
      </c>
    </row>
    <row r="22" spans="1:15" x14ac:dyDescent="0.15">
      <c r="A22" s="12">
        <f>B22</f>
        <v>28328.2153846154</v>
      </c>
      <c r="B22">
        <v>28328.2153846154</v>
      </c>
    </row>
    <row r="23" spans="1:15" x14ac:dyDescent="0.15">
      <c r="O23">
        <f>65*6.5</f>
        <v>422.5</v>
      </c>
    </row>
  </sheetData>
  <mergeCells count="4">
    <mergeCell ref="C1:L1"/>
    <mergeCell ref="D2:K2"/>
    <mergeCell ref="C2:C3"/>
    <mergeCell ref="L2:L3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"/>
  <sheetViews>
    <sheetView workbookViewId="0">
      <selection activeCell="M1" sqref="M1:U1"/>
    </sheetView>
  </sheetViews>
  <sheetFormatPr defaultColWidth="9" defaultRowHeight="13.5" x14ac:dyDescent="0.15"/>
  <cols>
    <col min="1" max="1" width="15.5" customWidth="1"/>
    <col min="3" max="3" width="7.375" customWidth="1"/>
    <col min="4" max="4" width="9.375" customWidth="1"/>
    <col min="5" max="5" width="8.875" customWidth="1"/>
    <col min="6" max="6" width="9.5" customWidth="1"/>
    <col min="7" max="7" width="9.25" customWidth="1"/>
    <col min="8" max="8" width="9.375" customWidth="1"/>
    <col min="9" max="9" width="8.625" customWidth="1"/>
    <col min="10" max="10" width="9.75" customWidth="1"/>
    <col min="11" max="11" width="10.25" customWidth="1"/>
    <col min="13" max="19" width="8.375" customWidth="1"/>
    <col min="20" max="20" width="9.25" customWidth="1"/>
    <col min="21" max="21" width="10.75" customWidth="1"/>
    <col min="22" max="22" width="10.5" customWidth="1"/>
  </cols>
  <sheetData>
    <row r="1" spans="1:22" x14ac:dyDescent="0.15">
      <c r="A1" s="43" t="s">
        <v>58</v>
      </c>
      <c r="C1" s="47" t="s">
        <v>59</v>
      </c>
      <c r="D1" s="47"/>
      <c r="E1" s="47"/>
      <c r="F1" s="47"/>
      <c r="G1" s="47"/>
      <c r="H1" s="47"/>
      <c r="I1" s="47"/>
      <c r="J1" s="47"/>
      <c r="K1" s="47"/>
      <c r="M1" s="47" t="s">
        <v>60</v>
      </c>
      <c r="N1" s="47"/>
      <c r="O1" s="47"/>
      <c r="P1" s="47"/>
      <c r="Q1" s="47"/>
      <c r="R1" s="47"/>
      <c r="S1" s="47"/>
      <c r="T1" s="47"/>
      <c r="U1" s="47"/>
    </row>
    <row r="2" spans="1:22" x14ac:dyDescent="0.15">
      <c r="A2" s="43"/>
      <c r="C2" s="44" t="s">
        <v>61</v>
      </c>
      <c r="D2" s="45" t="s">
        <v>62</v>
      </c>
      <c r="E2" s="45" t="s">
        <v>63</v>
      </c>
      <c r="F2" s="45" t="s">
        <v>64</v>
      </c>
      <c r="G2" s="45" t="s">
        <v>65</v>
      </c>
      <c r="H2" s="45" t="s">
        <v>66</v>
      </c>
      <c r="I2" s="45" t="s">
        <v>67</v>
      </c>
      <c r="J2" s="45" t="s">
        <v>68</v>
      </c>
      <c r="K2" s="45" t="s">
        <v>69</v>
      </c>
      <c r="M2" s="44" t="s">
        <v>61</v>
      </c>
      <c r="N2" s="45" t="s">
        <v>62</v>
      </c>
      <c r="O2" s="45" t="s">
        <v>63</v>
      </c>
      <c r="P2" s="45" t="s">
        <v>64</v>
      </c>
      <c r="Q2" s="45" t="s">
        <v>65</v>
      </c>
      <c r="R2" s="45" t="s">
        <v>66</v>
      </c>
      <c r="S2" s="45" t="s">
        <v>67</v>
      </c>
      <c r="T2" s="45" t="s">
        <v>68</v>
      </c>
      <c r="U2" s="45" t="s">
        <v>70</v>
      </c>
      <c r="V2" s="46" t="s">
        <v>71</v>
      </c>
    </row>
    <row r="3" spans="1:22" x14ac:dyDescent="0.15">
      <c r="A3" s="6" t="s">
        <v>72</v>
      </c>
      <c r="C3" s="44"/>
      <c r="D3" s="45"/>
      <c r="E3" s="45"/>
      <c r="F3" s="45"/>
      <c r="G3" s="45"/>
      <c r="H3" s="45"/>
      <c r="I3" s="45"/>
      <c r="J3" s="45"/>
      <c r="K3" s="45"/>
      <c r="M3" s="44"/>
      <c r="N3" s="45"/>
      <c r="O3" s="45"/>
      <c r="P3" s="45"/>
      <c r="Q3" s="45"/>
      <c r="R3" s="45"/>
      <c r="S3" s="45"/>
      <c r="T3" s="45"/>
      <c r="U3" s="45"/>
      <c r="V3" s="46"/>
    </row>
    <row r="4" spans="1:22" x14ac:dyDescent="0.15">
      <c r="A4" s="7">
        <f>5</f>
        <v>5</v>
      </c>
      <c r="C4" s="8">
        <f>产量!A3</f>
        <v>2021</v>
      </c>
      <c r="D4" s="9">
        <f>$A$6*产量!B3</f>
        <v>121027.09999999999</v>
      </c>
      <c r="E4" s="9">
        <f>$A$4*产量!C3</f>
        <v>238132.5</v>
      </c>
      <c r="F4" s="9">
        <f>$A$8*产量!D3</f>
        <v>339900.3</v>
      </c>
      <c r="G4" s="9">
        <f>$A$10*$A$14</f>
        <v>2400000</v>
      </c>
      <c r="H4" s="9">
        <f>$A$12*(0.05*43)</f>
        <v>76325</v>
      </c>
      <c r="I4" s="9">
        <f>G4*0.15</f>
        <v>360000</v>
      </c>
      <c r="J4" s="9">
        <f>SUM(D4:I4)</f>
        <v>3535384.9</v>
      </c>
      <c r="K4" s="13">
        <f>J4/产量!B3</f>
        <v>452.77847647345101</v>
      </c>
      <c r="M4" s="8">
        <f>C4</f>
        <v>2021</v>
      </c>
      <c r="N4" s="9">
        <f>$A$6*产量!E3</f>
        <v>122861.42425</v>
      </c>
      <c r="O4" s="9">
        <f>$A$4*产量!F3</f>
        <v>253030.5</v>
      </c>
      <c r="P4" s="9">
        <f>$A$8*产量!G3</f>
        <v>360475.2</v>
      </c>
      <c r="Q4" s="9">
        <f t="shared" ref="Q4:Q14" si="0">$A$10*$A$14</f>
        <v>2400000</v>
      </c>
      <c r="R4" s="9">
        <f>$A$12*(0.05*43)</f>
        <v>76325</v>
      </c>
      <c r="S4" s="9">
        <f t="shared" ref="S4:S13" si="1">Q4*0.15</f>
        <v>360000</v>
      </c>
      <c r="T4" s="9">
        <f t="shared" ref="T4:T13" si="2">SUM(N4:S4)</f>
        <v>3572692.1242499999</v>
      </c>
      <c r="U4" s="13">
        <f>T4/产量!E3</f>
        <v>450.72510158431606</v>
      </c>
      <c r="V4" s="14">
        <f>T4-J4</f>
        <v>37307.22424999997</v>
      </c>
    </row>
    <row r="5" spans="1:22" x14ac:dyDescent="0.15">
      <c r="A5" s="6" t="s">
        <v>73</v>
      </c>
      <c r="C5" s="8">
        <f>产量!A4</f>
        <v>2022</v>
      </c>
      <c r="D5" s="9">
        <f>$A$6*产量!B4</f>
        <v>128112.77</v>
      </c>
      <c r="E5" s="9">
        <f>$A$4*产量!C4</f>
        <v>230958.5</v>
      </c>
      <c r="F5" s="9">
        <f>$A$8*产量!D4</f>
        <v>321004.79999999999</v>
      </c>
      <c r="G5" s="9">
        <f t="shared" ref="G5:G14" si="3">$A$10*$A$14</f>
        <v>2400000</v>
      </c>
      <c r="H5" s="9">
        <f t="shared" ref="H5:H13" si="4">$A$12*(0.05*43)</f>
        <v>76325</v>
      </c>
      <c r="I5" s="9">
        <f t="shared" ref="I5:I13" si="5">G5*0.15</f>
        <v>360000</v>
      </c>
      <c r="J5" s="9">
        <f t="shared" ref="J5:J13" si="6">SUM(D5:I5)</f>
        <v>3516401.0700000003</v>
      </c>
      <c r="K5" s="13">
        <f>J5/产量!B4</f>
        <v>425.43937333491425</v>
      </c>
      <c r="M5" s="8">
        <f t="shared" ref="M5:M13" si="7">C5</f>
        <v>2022</v>
      </c>
      <c r="N5" s="9">
        <f>$A$6*产量!E4</f>
        <v>163384.7715</v>
      </c>
      <c r="O5" s="9">
        <f>$A$4*产量!F4</f>
        <v>344790.5</v>
      </c>
      <c r="P5" s="9">
        <f>$A$8*产量!G4</f>
        <v>486295.2</v>
      </c>
      <c r="Q5" s="9">
        <f t="shared" si="0"/>
        <v>2400000</v>
      </c>
      <c r="R5" s="9">
        <f t="shared" ref="R5:R13" si="8">$A$12*(0.05*43)</f>
        <v>76325</v>
      </c>
      <c r="S5" s="9">
        <f t="shared" si="1"/>
        <v>360000</v>
      </c>
      <c r="T5" s="9">
        <f t="shared" si="2"/>
        <v>3830795.4715</v>
      </c>
      <c r="U5" s="13">
        <f>T5/产量!E4</f>
        <v>363.42022125513699</v>
      </c>
      <c r="V5" s="14">
        <f t="shared" ref="V5:V14" si="9">T5-J5</f>
        <v>314394.40149999969</v>
      </c>
    </row>
    <row r="6" spans="1:22" x14ac:dyDescent="0.15">
      <c r="A6" s="10">
        <v>15.5</v>
      </c>
      <c r="C6" s="8">
        <f>产量!A5</f>
        <v>2023</v>
      </c>
      <c r="D6" s="9">
        <f>$A$6*产量!B5</f>
        <v>112188.38</v>
      </c>
      <c r="E6" s="9">
        <f>$A$4*产量!C5</f>
        <v>205465</v>
      </c>
      <c r="F6" s="9">
        <f>$A$8*产量!D5</f>
        <v>289020.60000000003</v>
      </c>
      <c r="G6" s="9">
        <f t="shared" si="3"/>
        <v>2400000</v>
      </c>
      <c r="H6" s="9">
        <f t="shared" si="4"/>
        <v>76325</v>
      </c>
      <c r="I6" s="9">
        <f t="shared" si="5"/>
        <v>360000</v>
      </c>
      <c r="J6" s="9">
        <f t="shared" si="6"/>
        <v>3442998.98</v>
      </c>
      <c r="K6" s="13">
        <f>J6/产量!B5</f>
        <v>475.68637848233482</v>
      </c>
      <c r="M6" s="8">
        <f t="shared" si="7"/>
        <v>2023</v>
      </c>
      <c r="N6" s="9">
        <f>$A$6*产量!E5</f>
        <v>160501.0275</v>
      </c>
      <c r="O6" s="9">
        <f>$A$4*产量!F5</f>
        <v>344354.5</v>
      </c>
      <c r="P6" s="9">
        <f>$A$8*产量!G5</f>
        <v>545186.70000000007</v>
      </c>
      <c r="Q6" s="9">
        <f t="shared" si="0"/>
        <v>2400000</v>
      </c>
      <c r="R6" s="9">
        <f t="shared" si="8"/>
        <v>76325</v>
      </c>
      <c r="S6" s="9">
        <f t="shared" si="1"/>
        <v>360000</v>
      </c>
      <c r="T6" s="9">
        <f t="shared" si="2"/>
        <v>3886367.2275</v>
      </c>
      <c r="U6" s="13">
        <f>T6/产量!E5</f>
        <v>375.31655070712861</v>
      </c>
      <c r="V6" s="14">
        <f t="shared" si="9"/>
        <v>443368.24750000006</v>
      </c>
    </row>
    <row r="7" spans="1:22" x14ac:dyDescent="0.15">
      <c r="A7" s="6" t="s">
        <v>74</v>
      </c>
      <c r="C7" s="8">
        <f>产量!A6</f>
        <v>2024</v>
      </c>
      <c r="D7" s="9">
        <f>$A$6*产量!B6</f>
        <v>98522.959999999992</v>
      </c>
      <c r="E7" s="9">
        <f>$A$4*产量!C6</f>
        <v>185272.5</v>
      </c>
      <c r="F7" s="9">
        <f>$A$8*产量!D6</f>
        <v>263761.2</v>
      </c>
      <c r="G7" s="9">
        <f t="shared" si="3"/>
        <v>2400000</v>
      </c>
      <c r="H7" s="9">
        <f t="shared" si="4"/>
        <v>76325</v>
      </c>
      <c r="I7" s="9">
        <f t="shared" si="5"/>
        <v>360000</v>
      </c>
      <c r="J7" s="9">
        <f t="shared" si="6"/>
        <v>3383881.66</v>
      </c>
      <c r="K7" s="13">
        <f>J7/产量!B6</f>
        <v>532.36489981624595</v>
      </c>
      <c r="M7" s="8">
        <f t="shared" si="7"/>
        <v>2024</v>
      </c>
      <c r="N7" s="9">
        <f>$A$6*产量!E6</f>
        <v>180212.796</v>
      </c>
      <c r="O7" s="9">
        <f>$A$4*产量!F6</f>
        <v>397980.5</v>
      </c>
      <c r="P7" s="9">
        <f>$A$8*产量!G6</f>
        <v>711349.20000000007</v>
      </c>
      <c r="Q7" s="9">
        <f t="shared" si="0"/>
        <v>2400000</v>
      </c>
      <c r="R7" s="9">
        <f t="shared" si="8"/>
        <v>76325</v>
      </c>
      <c r="S7" s="9">
        <f t="shared" si="1"/>
        <v>360000</v>
      </c>
      <c r="T7" s="9">
        <f t="shared" si="2"/>
        <v>4125867.4960000003</v>
      </c>
      <c r="U7" s="13">
        <f>T7/产量!E6</f>
        <v>354.86351473066321</v>
      </c>
      <c r="V7" s="14">
        <f t="shared" si="9"/>
        <v>741985.83600000013</v>
      </c>
    </row>
    <row r="8" spans="1:22" x14ac:dyDescent="0.15">
      <c r="A8" s="10">
        <v>9</v>
      </c>
      <c r="C8" s="8">
        <f>产量!A7</f>
        <v>2025</v>
      </c>
      <c r="D8" s="9">
        <f>$A$6*产量!B7</f>
        <v>86031.819999999992</v>
      </c>
      <c r="E8" s="9">
        <f>$A$4*产量!C7</f>
        <v>168089.5</v>
      </c>
      <c r="F8" s="9">
        <f>$A$8*产量!D7</f>
        <v>242191.80000000002</v>
      </c>
      <c r="G8" s="9">
        <f t="shared" si="3"/>
        <v>2400000</v>
      </c>
      <c r="H8" s="9">
        <f t="shared" si="4"/>
        <v>76325</v>
      </c>
      <c r="I8" s="9">
        <f t="shared" si="5"/>
        <v>360000</v>
      </c>
      <c r="J8" s="9">
        <f t="shared" si="6"/>
        <v>3332638.12</v>
      </c>
      <c r="K8" s="13">
        <f>J8/产量!B7</f>
        <v>600.4277354588105</v>
      </c>
      <c r="M8" s="8">
        <f t="shared" si="7"/>
        <v>2025</v>
      </c>
      <c r="N8" s="9">
        <f>$A$6*产量!E7</f>
        <v>166007.04367499999</v>
      </c>
      <c r="O8" s="9">
        <f>$A$4*产量!F7</f>
        <v>424409</v>
      </c>
      <c r="P8" s="9">
        <f>$A$8*产量!G7</f>
        <v>854392.5</v>
      </c>
      <c r="Q8" s="9">
        <f t="shared" si="0"/>
        <v>2400000</v>
      </c>
      <c r="R8" s="9">
        <f t="shared" si="8"/>
        <v>76325</v>
      </c>
      <c r="S8" s="9">
        <f t="shared" si="1"/>
        <v>360000</v>
      </c>
      <c r="T8" s="9">
        <f t="shared" si="2"/>
        <v>4281133.5436749998</v>
      </c>
      <c r="U8" s="13">
        <f>T8/产量!E7</f>
        <v>399.72743600490782</v>
      </c>
      <c r="V8" s="14">
        <f t="shared" si="9"/>
        <v>948495.42367499974</v>
      </c>
    </row>
    <row r="9" spans="1:22" x14ac:dyDescent="0.15">
      <c r="A9" s="6" t="s">
        <v>75</v>
      </c>
      <c r="C9" s="8">
        <f>产量!A8</f>
        <v>2026</v>
      </c>
      <c r="D9" s="9">
        <f>$A$6*产量!B8</f>
        <v>75338.060000000012</v>
      </c>
      <c r="E9" s="9">
        <f>$A$4*产量!C8</f>
        <v>154994</v>
      </c>
      <c r="F9" s="9">
        <f>$A$8*产量!D8</f>
        <v>226021.5</v>
      </c>
      <c r="G9" s="9">
        <f t="shared" si="3"/>
        <v>2400000</v>
      </c>
      <c r="H9" s="9">
        <f t="shared" si="4"/>
        <v>76325</v>
      </c>
      <c r="I9" s="9">
        <f t="shared" si="5"/>
        <v>360000</v>
      </c>
      <c r="J9" s="9">
        <f t="shared" si="6"/>
        <v>3292678.56</v>
      </c>
      <c r="K9" s="13">
        <f>J9/产量!B8</f>
        <v>677.43339395784812</v>
      </c>
      <c r="M9" s="8">
        <f t="shared" si="7"/>
        <v>2026</v>
      </c>
      <c r="N9" s="9">
        <f>$A$6*产量!E8</f>
        <v>150321.5172</v>
      </c>
      <c r="O9" s="9">
        <f>$A$4*产量!F8</f>
        <v>405903.5</v>
      </c>
      <c r="P9" s="9">
        <f>$A$8*产量!G8</f>
        <v>861626.70000000007</v>
      </c>
      <c r="Q9" s="9">
        <f t="shared" si="0"/>
        <v>2400000</v>
      </c>
      <c r="R9" s="9">
        <f t="shared" si="8"/>
        <v>76325</v>
      </c>
      <c r="S9" s="9">
        <f t="shared" si="1"/>
        <v>360000</v>
      </c>
      <c r="T9" s="9">
        <f t="shared" si="2"/>
        <v>4254176.7171999998</v>
      </c>
      <c r="U9" s="13">
        <f>T9/产量!E8</f>
        <v>438.65802012142012</v>
      </c>
      <c r="V9" s="14">
        <f t="shared" si="9"/>
        <v>961498.15719999978</v>
      </c>
    </row>
    <row r="10" spans="1:22" x14ac:dyDescent="0.15">
      <c r="A10" s="11">
        <v>160000</v>
      </c>
      <c r="C10" s="8">
        <f>产量!A9</f>
        <v>2027</v>
      </c>
      <c r="D10" s="9">
        <f>$A$6*产量!B9</f>
        <v>65973.58</v>
      </c>
      <c r="E10" s="9">
        <f>$A$4*产量!C9</f>
        <v>145210.5</v>
      </c>
      <c r="F10" s="9">
        <f>$A$8*产量!D9</f>
        <v>214312.5</v>
      </c>
      <c r="G10" s="9">
        <f t="shared" si="3"/>
        <v>2400000</v>
      </c>
      <c r="H10" s="9">
        <f t="shared" si="4"/>
        <v>76325</v>
      </c>
      <c r="I10" s="9">
        <f t="shared" si="5"/>
        <v>360000</v>
      </c>
      <c r="J10" s="9">
        <f t="shared" si="6"/>
        <v>3261821.58</v>
      </c>
      <c r="K10" s="13">
        <f>J10/产量!B9</f>
        <v>766.34062438327589</v>
      </c>
      <c r="M10" s="8">
        <f t="shared" si="7"/>
        <v>2027</v>
      </c>
      <c r="N10" s="9">
        <f>$A$6*产量!E9</f>
        <v>127850.5782</v>
      </c>
      <c r="O10" s="9">
        <f>$A$4*产量!F9</f>
        <v>371381</v>
      </c>
      <c r="P10" s="9">
        <f>$A$8*产量!G9</f>
        <v>788344.20000000007</v>
      </c>
      <c r="Q10" s="9">
        <f t="shared" si="0"/>
        <v>2400000</v>
      </c>
      <c r="R10" s="9">
        <f t="shared" si="8"/>
        <v>76325</v>
      </c>
      <c r="S10" s="9">
        <f t="shared" si="1"/>
        <v>360000</v>
      </c>
      <c r="T10" s="9">
        <f t="shared" si="2"/>
        <v>4123900.7782000001</v>
      </c>
      <c r="U10" s="13">
        <f>T10/产量!E9</f>
        <v>499.96224469245305</v>
      </c>
      <c r="V10" s="14">
        <f t="shared" si="9"/>
        <v>862079.19819999998</v>
      </c>
    </row>
    <row r="11" spans="1:22" x14ac:dyDescent="0.15">
      <c r="A11" s="6" t="s">
        <v>76</v>
      </c>
      <c r="C11" s="8">
        <f>产量!A10</f>
        <v>2028</v>
      </c>
      <c r="D11" s="9">
        <f>$A$6*产量!B10</f>
        <v>57937.450000000004</v>
      </c>
      <c r="E11" s="9">
        <f>$A$4*产量!C10</f>
        <v>139134</v>
      </c>
      <c r="F11" s="9">
        <f>$A$8*产量!D10</f>
        <v>207808.19999999998</v>
      </c>
      <c r="G11" s="9">
        <f t="shared" si="3"/>
        <v>2400000</v>
      </c>
      <c r="H11" s="9">
        <f t="shared" si="4"/>
        <v>76325</v>
      </c>
      <c r="I11" s="9">
        <f t="shared" si="5"/>
        <v>360000</v>
      </c>
      <c r="J11" s="9">
        <f t="shared" si="6"/>
        <v>3241204.65</v>
      </c>
      <c r="K11" s="13">
        <f>J11/产量!B10</f>
        <v>867.11914443939111</v>
      </c>
      <c r="M11" s="8">
        <f t="shared" si="7"/>
        <v>2028</v>
      </c>
      <c r="N11" s="9">
        <f>$A$6*产量!E10</f>
        <v>102201.26562000001</v>
      </c>
      <c r="O11" s="9">
        <f>$A$4*产量!F10</f>
        <v>326146.5</v>
      </c>
      <c r="P11" s="9">
        <f>$A$8*产量!G10</f>
        <v>692322.29999999993</v>
      </c>
      <c r="Q11" s="9">
        <f t="shared" si="0"/>
        <v>2400000</v>
      </c>
      <c r="R11" s="9">
        <f t="shared" si="8"/>
        <v>76325</v>
      </c>
      <c r="S11" s="9">
        <f t="shared" si="1"/>
        <v>360000</v>
      </c>
      <c r="T11" s="9">
        <f t="shared" si="2"/>
        <v>3956995.06562</v>
      </c>
      <c r="U11" s="13">
        <f>T11/产量!E10</f>
        <v>600.12391377966969</v>
      </c>
      <c r="V11" s="14">
        <f t="shared" si="9"/>
        <v>715790.4156200001</v>
      </c>
    </row>
    <row r="12" spans="1:22" x14ac:dyDescent="0.15">
      <c r="A12" s="10">
        <v>35500</v>
      </c>
      <c r="C12" s="8">
        <f>产量!A11</f>
        <v>2029</v>
      </c>
      <c r="D12" s="9">
        <f>$A$6*产量!B11</f>
        <v>50591.844999999994</v>
      </c>
      <c r="E12" s="9">
        <f>$A$4*产量!C11</f>
        <v>136017</v>
      </c>
      <c r="F12" s="9">
        <f>$A$8*产量!D11</f>
        <v>204091.19999999998</v>
      </c>
      <c r="G12" s="9">
        <f t="shared" si="3"/>
        <v>2400000</v>
      </c>
      <c r="H12" s="9">
        <f t="shared" si="4"/>
        <v>76325</v>
      </c>
      <c r="I12" s="9">
        <f t="shared" si="5"/>
        <v>360000</v>
      </c>
      <c r="J12" s="9">
        <f t="shared" si="6"/>
        <v>3227025.0449999999</v>
      </c>
      <c r="K12" s="13">
        <f>J12/产量!B11</f>
        <v>988.67491781531203</v>
      </c>
      <c r="M12" s="8">
        <f t="shared" si="7"/>
        <v>2029</v>
      </c>
      <c r="N12" s="9">
        <f>$A$6*产量!E11</f>
        <v>80331.102202499998</v>
      </c>
      <c r="O12" s="9">
        <f>$A$4*产量!F11</f>
        <v>290254.5</v>
      </c>
      <c r="P12" s="9">
        <f>$A$8*产量!G11</f>
        <v>616133.70000000007</v>
      </c>
      <c r="Q12" s="9">
        <f t="shared" si="0"/>
        <v>2400000</v>
      </c>
      <c r="R12" s="9">
        <f t="shared" si="8"/>
        <v>76325</v>
      </c>
      <c r="S12" s="9">
        <f t="shared" si="1"/>
        <v>360000</v>
      </c>
      <c r="T12" s="9">
        <f t="shared" si="2"/>
        <v>3823044.3022024999</v>
      </c>
      <c r="U12" s="13">
        <f>T12/产量!E11</f>
        <v>737.66181540447724</v>
      </c>
      <c r="V12" s="14">
        <f t="shared" si="9"/>
        <v>596019.25720250001</v>
      </c>
    </row>
    <row r="13" spans="1:22" x14ac:dyDescent="0.15">
      <c r="A13" s="6" t="s">
        <v>77</v>
      </c>
      <c r="C13" s="8">
        <f>产量!A12</f>
        <v>2030</v>
      </c>
      <c r="D13" s="9">
        <f>$A$6*产量!B12</f>
        <v>44303.340000000004</v>
      </c>
      <c r="E13" s="9">
        <f>$A$4*产量!C12</f>
        <v>138144.5</v>
      </c>
      <c r="F13" s="9">
        <f>$A$8*产量!D12</f>
        <v>207283.5</v>
      </c>
      <c r="G13" s="9">
        <f t="shared" si="3"/>
        <v>2400000</v>
      </c>
      <c r="H13" s="9">
        <f t="shared" si="4"/>
        <v>76325</v>
      </c>
      <c r="I13" s="9">
        <f t="shared" si="5"/>
        <v>360000</v>
      </c>
      <c r="J13" s="9">
        <f t="shared" si="6"/>
        <v>3226056.34</v>
      </c>
      <c r="K13" s="13">
        <f>J13/产量!B12</f>
        <v>1128.6705081377611</v>
      </c>
      <c r="M13" s="8">
        <f t="shared" si="7"/>
        <v>2030</v>
      </c>
      <c r="N13" s="9">
        <f>$A$6*产量!E12</f>
        <v>66756.698977500011</v>
      </c>
      <c r="O13" s="9">
        <f>$A$4*产量!F12</f>
        <v>282124</v>
      </c>
      <c r="P13" s="9">
        <f>$A$8*产量!G12</f>
        <v>598874.4</v>
      </c>
      <c r="Q13" s="9">
        <f t="shared" si="0"/>
        <v>2400000</v>
      </c>
      <c r="R13" s="9">
        <f t="shared" si="8"/>
        <v>76325</v>
      </c>
      <c r="S13" s="9">
        <f t="shared" si="1"/>
        <v>360000</v>
      </c>
      <c r="T13" s="9">
        <f t="shared" si="2"/>
        <v>3784080.0989775001</v>
      </c>
      <c r="U13" s="13">
        <f>T13/产量!E12</f>
        <v>878.6120708862494</v>
      </c>
      <c r="V13" s="14">
        <f t="shared" si="9"/>
        <v>558023.75897750026</v>
      </c>
    </row>
    <row r="14" spans="1:22" x14ac:dyDescent="0.15">
      <c r="A14" s="12">
        <f>INT(43*0.35)</f>
        <v>15</v>
      </c>
      <c r="C14" s="8" t="s">
        <v>6</v>
      </c>
      <c r="D14" s="9">
        <f>SUM(D4:D13)</f>
        <v>840027.30499999982</v>
      </c>
      <c r="E14" s="9">
        <f t="shared" ref="E14:J14" si="10">SUM(E4:E13)</f>
        <v>1741418</v>
      </c>
      <c r="F14" s="9">
        <f t="shared" si="10"/>
        <v>2515395.6</v>
      </c>
      <c r="G14" s="9">
        <f t="shared" si="3"/>
        <v>2400000</v>
      </c>
      <c r="H14" s="9">
        <f t="shared" si="10"/>
        <v>763250</v>
      </c>
      <c r="I14" s="9">
        <f t="shared" si="10"/>
        <v>3600000</v>
      </c>
      <c r="J14" s="9">
        <f t="shared" si="10"/>
        <v>33460090.904999997</v>
      </c>
      <c r="K14" s="13">
        <f>J14/产量!B13</f>
        <v>617.39827496143118</v>
      </c>
      <c r="M14" s="8" t="s">
        <v>6</v>
      </c>
      <c r="N14" s="9">
        <f t="shared" ref="N14:P14" si="11">SUM(N4:N13)</f>
        <v>1320428.2251249999</v>
      </c>
      <c r="O14" s="9">
        <f t="shared" si="11"/>
        <v>3440374.5</v>
      </c>
      <c r="P14" s="9">
        <f t="shared" si="11"/>
        <v>6515000.1000000006</v>
      </c>
      <c r="Q14" s="9">
        <f t="shared" si="0"/>
        <v>2400000</v>
      </c>
      <c r="R14" s="9">
        <f t="shared" ref="R14:T14" si="12">SUM(R4:R13)</f>
        <v>763250</v>
      </c>
      <c r="S14" s="9">
        <f t="shared" si="12"/>
        <v>3600000</v>
      </c>
      <c r="T14" s="9">
        <f t="shared" si="12"/>
        <v>39639052.825125001</v>
      </c>
      <c r="U14" s="13">
        <f>T14/产量!E13</f>
        <v>465.30762301091681</v>
      </c>
      <c r="V14" s="14">
        <f t="shared" si="9"/>
        <v>6178961.9201250039</v>
      </c>
    </row>
  </sheetData>
  <mergeCells count="22">
    <mergeCell ref="C1:K1"/>
    <mergeCell ref="M1:U1"/>
    <mergeCell ref="A1:A2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P2:P3"/>
    <mergeCell ref="V2:V3"/>
    <mergeCell ref="Q2:Q3"/>
    <mergeCell ref="R2:R3"/>
    <mergeCell ref="S2:S3"/>
    <mergeCell ref="T2:T3"/>
    <mergeCell ref="U2:U3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16"/>
  <sheetViews>
    <sheetView workbookViewId="0">
      <selection activeCell="F3" sqref="F3"/>
    </sheetView>
  </sheetViews>
  <sheetFormatPr defaultColWidth="9" defaultRowHeight="13.5" x14ac:dyDescent="0.15"/>
  <cols>
    <col min="2" max="2" width="12.625"/>
    <col min="4" max="4" width="10.75" customWidth="1"/>
    <col min="5" max="5" width="10.625" customWidth="1"/>
    <col min="6" max="6" width="11" customWidth="1"/>
  </cols>
  <sheetData>
    <row r="2" spans="1:6" x14ac:dyDescent="0.15">
      <c r="A2" t="s">
        <v>78</v>
      </c>
      <c r="B2" s="1" t="s">
        <v>79</v>
      </c>
      <c r="C2" t="s">
        <v>80</v>
      </c>
      <c r="D2" s="1" t="s">
        <v>79</v>
      </c>
      <c r="E2" t="s">
        <v>81</v>
      </c>
      <c r="F2" t="s">
        <v>79</v>
      </c>
    </row>
    <row r="3" spans="1:6" x14ac:dyDescent="0.15">
      <c r="A3">
        <v>1</v>
      </c>
      <c r="B3" s="2">
        <f>评价模型!S13</f>
        <v>0.66556774699399224</v>
      </c>
      <c r="C3">
        <v>1</v>
      </c>
      <c r="D3" s="2">
        <f>评价模型!S13</f>
        <v>0.66556774699399224</v>
      </c>
      <c r="E3">
        <v>1</v>
      </c>
      <c r="F3" s="2">
        <f>评价模型!S13</f>
        <v>0.66556774699399224</v>
      </c>
    </row>
    <row r="4" spans="1:6" x14ac:dyDescent="0.15">
      <c r="A4" s="3">
        <v>0.5</v>
      </c>
      <c r="B4" s="2">
        <f t="dataTable" ref="B4:B9" dt2D="0" dtr="0" r1="A3" ca="1"/>
        <v>0.66556774699399224</v>
      </c>
      <c r="C4">
        <v>1.5</v>
      </c>
      <c r="D4" s="2">
        <f t="dataTable" ref="D4:D9" dt2D="0" dtr="0" r1="C3"/>
        <v>0.41234450481819662</v>
      </c>
      <c r="E4">
        <v>1.5</v>
      </c>
      <c r="F4" s="2">
        <f t="dataTable" ref="F4:F9" dt2D="0" dtr="0" r1="E3" ca="1"/>
        <v>0.60854888985559352</v>
      </c>
    </row>
    <row r="5" spans="1:6" x14ac:dyDescent="0.15">
      <c r="A5" s="3">
        <v>0.6</v>
      </c>
      <c r="B5" s="2">
        <v>0.66556774699399224</v>
      </c>
      <c r="C5">
        <v>1.4</v>
      </c>
      <c r="D5" s="2">
        <v>0.45268188265695142</v>
      </c>
      <c r="E5">
        <v>1.4</v>
      </c>
      <c r="F5" s="2">
        <v>0.62002754187771281</v>
      </c>
    </row>
    <row r="6" spans="1:6" x14ac:dyDescent="0.15">
      <c r="A6" s="3">
        <v>0.7</v>
      </c>
      <c r="B6" s="2">
        <v>0.66556774699399224</v>
      </c>
      <c r="C6">
        <v>1.3</v>
      </c>
      <c r="D6" s="2">
        <v>0.49736942493835512</v>
      </c>
      <c r="E6">
        <v>1.3</v>
      </c>
      <c r="F6" s="2">
        <v>0.63146592571476479</v>
      </c>
    </row>
    <row r="7" spans="1:6" x14ac:dyDescent="0.15">
      <c r="A7" s="3">
        <v>0.8</v>
      </c>
      <c r="B7" s="2">
        <v>0.66556774699399224</v>
      </c>
      <c r="C7">
        <v>1.2</v>
      </c>
      <c r="D7" s="2">
        <v>0.54712970064169486</v>
      </c>
      <c r="E7">
        <v>1.2</v>
      </c>
      <c r="F7" s="2">
        <v>0.64286695084253198</v>
      </c>
    </row>
    <row r="8" spans="1:6" x14ac:dyDescent="0.15">
      <c r="A8" s="3">
        <v>0.9</v>
      </c>
      <c r="B8" s="2">
        <v>0.66556774699399224</v>
      </c>
      <c r="C8">
        <v>1.1000000000000001</v>
      </c>
      <c r="D8" s="2">
        <v>0.60283943211792623</v>
      </c>
      <c r="E8">
        <v>1.1000000000000001</v>
      </c>
      <c r="F8" s="2">
        <v>0.65423336091185047</v>
      </c>
    </row>
    <row r="9" spans="1:6" x14ac:dyDescent="0.15">
      <c r="A9" s="3">
        <v>1</v>
      </c>
      <c r="B9" s="2">
        <v>0.66556774699399224</v>
      </c>
      <c r="C9">
        <v>1</v>
      </c>
      <c r="D9" s="2">
        <v>0.66556774699399224</v>
      </c>
      <c r="E9">
        <v>1</v>
      </c>
      <c r="F9" s="2">
        <v>0.66556774699399224</v>
      </c>
    </row>
    <row r="11" spans="1:6" x14ac:dyDescent="0.15">
      <c r="A11" s="3"/>
      <c r="B11" s="2"/>
      <c r="C11" s="2"/>
    </row>
    <row r="12" spans="1:6" x14ac:dyDescent="0.15">
      <c r="A12" s="3"/>
      <c r="B12" s="2"/>
      <c r="C12" s="2"/>
    </row>
    <row r="13" spans="1:6" x14ac:dyDescent="0.15">
      <c r="A13" s="3"/>
      <c r="B13" s="2"/>
      <c r="C13" s="2"/>
    </row>
    <row r="14" spans="1:6" x14ac:dyDescent="0.15">
      <c r="A14" s="3"/>
      <c r="B14" s="2"/>
      <c r="C14" s="2"/>
    </row>
    <row r="15" spans="1:6" x14ac:dyDescent="0.15">
      <c r="A15" s="3"/>
      <c r="B15" s="2"/>
      <c r="C15" s="2"/>
    </row>
    <row r="16" spans="1:6" x14ac:dyDescent="0.15">
      <c r="A16" s="3"/>
      <c r="B16" s="2"/>
      <c r="C16" s="2"/>
    </row>
  </sheetData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产量</vt:lpstr>
      <vt:lpstr>评价模型</vt:lpstr>
      <vt:lpstr>方案投资估算</vt:lpstr>
      <vt:lpstr>措施费用估算</vt:lpstr>
      <vt:lpstr>增量成本估算</vt:lpstr>
      <vt:lpstr>敏感性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LNU FNU</cp:lastModifiedBy>
  <dcterms:created xsi:type="dcterms:W3CDTF">2021-08-13T08:02:00Z</dcterms:created>
  <dcterms:modified xsi:type="dcterms:W3CDTF">2022-04-24T10:15:15Z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