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defaultThemeVersion="124226"/>
  <xr:revisionPtr revIDLastSave="0" documentId="13_ncr:1_{BF48F166-5EF9-4346-B869-81293416A3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措施后变化" sheetId="1" r:id="rId1"/>
    <sheet name="部分计算" sheetId="2" r:id="rId2"/>
    <sheet name="结论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28" i="1"/>
  <c r="R32" i="1"/>
  <c r="E32" i="1" s="1"/>
  <c r="D212" i="1"/>
  <c r="D213" i="1"/>
  <c r="D214" i="1"/>
  <c r="D215" i="1"/>
  <c r="D216" i="1"/>
  <c r="D217" i="1"/>
  <c r="D218" i="1"/>
  <c r="D219" i="1"/>
  <c r="D220" i="1"/>
  <c r="D211" i="1"/>
  <c r="D200" i="1"/>
  <c r="D201" i="1"/>
  <c r="D202" i="1"/>
  <c r="D203" i="1"/>
  <c r="D204" i="1"/>
  <c r="Q204" i="1" s="1"/>
  <c r="D205" i="1"/>
  <c r="D206" i="1"/>
  <c r="D207" i="1"/>
  <c r="D208" i="1"/>
  <c r="D199" i="1"/>
  <c r="D188" i="1"/>
  <c r="D189" i="1"/>
  <c r="D190" i="1"/>
  <c r="D191" i="1"/>
  <c r="D192" i="1"/>
  <c r="D193" i="1"/>
  <c r="Q193" i="1" s="1"/>
  <c r="D194" i="1"/>
  <c r="D195" i="1"/>
  <c r="D196" i="1"/>
  <c r="D187" i="1"/>
  <c r="D176" i="1"/>
  <c r="D177" i="1"/>
  <c r="D178" i="1"/>
  <c r="D179" i="1"/>
  <c r="D180" i="1"/>
  <c r="D181" i="1"/>
  <c r="D182" i="1"/>
  <c r="D183" i="1"/>
  <c r="D184" i="1"/>
  <c r="D175" i="1"/>
  <c r="D164" i="1"/>
  <c r="D165" i="1"/>
  <c r="D166" i="1"/>
  <c r="D167" i="1"/>
  <c r="D168" i="1"/>
  <c r="D169" i="1"/>
  <c r="D170" i="1"/>
  <c r="D171" i="1"/>
  <c r="D172" i="1"/>
  <c r="D163" i="1"/>
  <c r="D152" i="1"/>
  <c r="D153" i="1"/>
  <c r="D154" i="1"/>
  <c r="D155" i="1"/>
  <c r="D156" i="1"/>
  <c r="D157" i="1"/>
  <c r="D158" i="1"/>
  <c r="D159" i="1"/>
  <c r="D160" i="1"/>
  <c r="D151" i="1"/>
  <c r="D79" i="1"/>
  <c r="D80" i="1"/>
  <c r="D81" i="1"/>
  <c r="D82" i="1"/>
  <c r="D83" i="1"/>
  <c r="D84" i="1"/>
  <c r="D85" i="1"/>
  <c r="D86" i="1"/>
  <c r="D87" i="1"/>
  <c r="D78" i="1"/>
  <c r="D65" i="1"/>
  <c r="D66" i="1"/>
  <c r="D67" i="1"/>
  <c r="D68" i="1"/>
  <c r="D69" i="1"/>
  <c r="D70" i="1"/>
  <c r="D71" i="1"/>
  <c r="D72" i="1"/>
  <c r="D73" i="1"/>
  <c r="D64" i="1"/>
  <c r="D53" i="1"/>
  <c r="D54" i="1"/>
  <c r="D55" i="1"/>
  <c r="D56" i="1"/>
  <c r="D57" i="1"/>
  <c r="D58" i="1"/>
  <c r="D59" i="1"/>
  <c r="D60" i="1"/>
  <c r="D61" i="1"/>
  <c r="D52" i="1"/>
  <c r="D41" i="1"/>
  <c r="D42" i="1"/>
  <c r="D43" i="1"/>
  <c r="D44" i="1"/>
  <c r="D45" i="1"/>
  <c r="D46" i="1"/>
  <c r="D47" i="1"/>
  <c r="D48" i="1"/>
  <c r="D49" i="1"/>
  <c r="D40" i="1"/>
  <c r="Q40" i="1" s="1"/>
  <c r="D29" i="1"/>
  <c r="D30" i="1"/>
  <c r="D31" i="1"/>
  <c r="D32" i="1"/>
  <c r="D33" i="1"/>
  <c r="D34" i="1"/>
  <c r="D35" i="1"/>
  <c r="D36" i="1"/>
  <c r="D37" i="1"/>
  <c r="D28" i="1"/>
  <c r="D17" i="1"/>
  <c r="D18" i="1"/>
  <c r="D19" i="1"/>
  <c r="D20" i="1"/>
  <c r="D21" i="1"/>
  <c r="D22" i="1"/>
  <c r="D23" i="1"/>
  <c r="D24" i="1"/>
  <c r="D25" i="1"/>
  <c r="D16" i="1"/>
  <c r="Q16" i="1" s="1"/>
  <c r="D3" i="1"/>
  <c r="D4" i="1"/>
  <c r="D5" i="1"/>
  <c r="D6" i="1"/>
  <c r="D7" i="1"/>
  <c r="D8" i="1"/>
  <c r="D9" i="1"/>
  <c r="D10" i="1"/>
  <c r="D11" i="1"/>
  <c r="D2" i="1"/>
  <c r="Q2" i="1" s="1"/>
  <c r="T220" i="1"/>
  <c r="S220" i="1"/>
  <c r="Q220" i="1"/>
  <c r="R220" i="1" s="1"/>
  <c r="E220" i="1" s="1"/>
  <c r="H220" i="1" s="1"/>
  <c r="P220" i="1"/>
  <c r="O220" i="1"/>
  <c r="N220" i="1"/>
  <c r="T219" i="1"/>
  <c r="S219" i="1"/>
  <c r="Q219" i="1"/>
  <c r="R219" i="1" s="1"/>
  <c r="E219" i="1" s="1"/>
  <c r="H219" i="1" s="1"/>
  <c r="P219" i="1"/>
  <c r="O219" i="1"/>
  <c r="N219" i="1"/>
  <c r="T218" i="1"/>
  <c r="S218" i="1"/>
  <c r="Q218" i="1"/>
  <c r="P218" i="1"/>
  <c r="O218" i="1"/>
  <c r="N218" i="1"/>
  <c r="R218" i="1" s="1"/>
  <c r="E218" i="1" s="1"/>
  <c r="H218" i="1" s="1"/>
  <c r="T217" i="1"/>
  <c r="S217" i="1"/>
  <c r="Q217" i="1"/>
  <c r="R217" i="1" s="1"/>
  <c r="E217" i="1" s="1"/>
  <c r="H217" i="1" s="1"/>
  <c r="P217" i="1"/>
  <c r="O217" i="1"/>
  <c r="N217" i="1"/>
  <c r="T216" i="1"/>
  <c r="S216" i="1"/>
  <c r="Q216" i="1"/>
  <c r="P216" i="1"/>
  <c r="O216" i="1"/>
  <c r="N216" i="1"/>
  <c r="T215" i="1"/>
  <c r="S215" i="1"/>
  <c r="P215" i="1"/>
  <c r="O215" i="1"/>
  <c r="N215" i="1"/>
  <c r="T214" i="1"/>
  <c r="S214" i="1"/>
  <c r="P214" i="1"/>
  <c r="O214" i="1"/>
  <c r="N214" i="1"/>
  <c r="T213" i="1"/>
  <c r="S213" i="1"/>
  <c r="P213" i="1"/>
  <c r="O213" i="1"/>
  <c r="N213" i="1"/>
  <c r="T212" i="1"/>
  <c r="S212" i="1"/>
  <c r="P212" i="1"/>
  <c r="O212" i="1"/>
  <c r="N212" i="1"/>
  <c r="T211" i="1"/>
  <c r="S211" i="1"/>
  <c r="P211" i="1"/>
  <c r="O211" i="1"/>
  <c r="N211" i="1"/>
  <c r="T208" i="1"/>
  <c r="S208" i="1"/>
  <c r="Q208" i="1"/>
  <c r="P208" i="1"/>
  <c r="O208" i="1"/>
  <c r="N208" i="1"/>
  <c r="T207" i="1"/>
  <c r="S207" i="1"/>
  <c r="Q207" i="1"/>
  <c r="R207" i="1" s="1"/>
  <c r="E207" i="1" s="1"/>
  <c r="H207" i="1" s="1"/>
  <c r="P207" i="1"/>
  <c r="O207" i="1"/>
  <c r="N207" i="1"/>
  <c r="T206" i="1"/>
  <c r="S206" i="1"/>
  <c r="Q206" i="1"/>
  <c r="P206" i="1"/>
  <c r="O206" i="1"/>
  <c r="N206" i="1"/>
  <c r="T205" i="1"/>
  <c r="S205" i="1"/>
  <c r="Q205" i="1"/>
  <c r="P205" i="1"/>
  <c r="O205" i="1"/>
  <c r="N205" i="1"/>
  <c r="R205" i="1" s="1"/>
  <c r="E205" i="1" s="1"/>
  <c r="H205" i="1" s="1"/>
  <c r="T204" i="1"/>
  <c r="S204" i="1"/>
  <c r="P204" i="1"/>
  <c r="O204" i="1"/>
  <c r="N204" i="1"/>
  <c r="T203" i="1"/>
  <c r="S203" i="1"/>
  <c r="P203" i="1"/>
  <c r="O203" i="1"/>
  <c r="N203" i="1"/>
  <c r="T202" i="1"/>
  <c r="S202" i="1"/>
  <c r="P202" i="1"/>
  <c r="O202" i="1"/>
  <c r="N202" i="1"/>
  <c r="T201" i="1"/>
  <c r="S201" i="1"/>
  <c r="P201" i="1"/>
  <c r="O201" i="1"/>
  <c r="N201" i="1"/>
  <c r="T200" i="1"/>
  <c r="S200" i="1"/>
  <c r="P200" i="1"/>
  <c r="O200" i="1"/>
  <c r="N200" i="1"/>
  <c r="T199" i="1"/>
  <c r="S199" i="1"/>
  <c r="P199" i="1"/>
  <c r="O199" i="1"/>
  <c r="N199" i="1"/>
  <c r="T196" i="1"/>
  <c r="S196" i="1"/>
  <c r="Q196" i="1"/>
  <c r="P196" i="1"/>
  <c r="O196" i="1"/>
  <c r="N196" i="1"/>
  <c r="T195" i="1"/>
  <c r="S195" i="1"/>
  <c r="Q195" i="1"/>
  <c r="P195" i="1"/>
  <c r="O195" i="1"/>
  <c r="N195" i="1"/>
  <c r="R195" i="1" s="1"/>
  <c r="E195" i="1" s="1"/>
  <c r="H195" i="1" s="1"/>
  <c r="T194" i="1"/>
  <c r="S194" i="1"/>
  <c r="R194" i="1"/>
  <c r="E194" i="1" s="1"/>
  <c r="H194" i="1" s="1"/>
  <c r="Q194" i="1"/>
  <c r="P194" i="1"/>
  <c r="O194" i="1"/>
  <c r="N194" i="1"/>
  <c r="T193" i="1"/>
  <c r="S193" i="1"/>
  <c r="P193" i="1"/>
  <c r="O193" i="1"/>
  <c r="N193" i="1"/>
  <c r="T192" i="1"/>
  <c r="S192" i="1"/>
  <c r="Q192" i="1"/>
  <c r="R192" i="1" s="1"/>
  <c r="E192" i="1" s="1"/>
  <c r="H192" i="1" s="1"/>
  <c r="P192" i="1"/>
  <c r="O192" i="1"/>
  <c r="N192" i="1"/>
  <c r="T191" i="1"/>
  <c r="S191" i="1"/>
  <c r="P191" i="1"/>
  <c r="O191" i="1"/>
  <c r="N191" i="1"/>
  <c r="T190" i="1"/>
  <c r="S190" i="1"/>
  <c r="P190" i="1"/>
  <c r="O190" i="1"/>
  <c r="N190" i="1"/>
  <c r="T189" i="1"/>
  <c r="S189" i="1"/>
  <c r="P189" i="1"/>
  <c r="O189" i="1"/>
  <c r="N189" i="1"/>
  <c r="T188" i="1"/>
  <c r="S188" i="1"/>
  <c r="P188" i="1"/>
  <c r="O188" i="1"/>
  <c r="N188" i="1"/>
  <c r="T187" i="1"/>
  <c r="S187" i="1"/>
  <c r="P187" i="1"/>
  <c r="O187" i="1"/>
  <c r="N187" i="1"/>
  <c r="Q175" i="1"/>
  <c r="T184" i="1"/>
  <c r="S184" i="1"/>
  <c r="Q184" i="1"/>
  <c r="R184" i="1" s="1"/>
  <c r="E184" i="1" s="1"/>
  <c r="H184" i="1" s="1"/>
  <c r="P184" i="1"/>
  <c r="O184" i="1"/>
  <c r="N184" i="1"/>
  <c r="T183" i="1"/>
  <c r="S183" i="1"/>
  <c r="Q183" i="1"/>
  <c r="R183" i="1" s="1"/>
  <c r="E183" i="1" s="1"/>
  <c r="H183" i="1" s="1"/>
  <c r="P183" i="1"/>
  <c r="O183" i="1"/>
  <c r="N183" i="1"/>
  <c r="T182" i="1"/>
  <c r="S182" i="1"/>
  <c r="Q182" i="1"/>
  <c r="P182" i="1"/>
  <c r="O182" i="1"/>
  <c r="N182" i="1"/>
  <c r="R182" i="1" s="1"/>
  <c r="E182" i="1" s="1"/>
  <c r="H182" i="1" s="1"/>
  <c r="T181" i="1"/>
  <c r="S181" i="1"/>
  <c r="Q181" i="1"/>
  <c r="P181" i="1"/>
  <c r="O181" i="1"/>
  <c r="N181" i="1"/>
  <c r="T180" i="1"/>
  <c r="S180" i="1"/>
  <c r="Q180" i="1"/>
  <c r="P180" i="1"/>
  <c r="O180" i="1"/>
  <c r="N180" i="1"/>
  <c r="T179" i="1"/>
  <c r="S179" i="1"/>
  <c r="P179" i="1"/>
  <c r="O179" i="1"/>
  <c r="N179" i="1"/>
  <c r="T178" i="1"/>
  <c r="S178" i="1"/>
  <c r="P178" i="1"/>
  <c r="O178" i="1"/>
  <c r="N178" i="1"/>
  <c r="T177" i="1"/>
  <c r="S177" i="1"/>
  <c r="P177" i="1"/>
  <c r="O177" i="1"/>
  <c r="N177" i="1"/>
  <c r="T176" i="1"/>
  <c r="S176" i="1"/>
  <c r="P176" i="1"/>
  <c r="O176" i="1"/>
  <c r="N176" i="1"/>
  <c r="T175" i="1"/>
  <c r="S175" i="1"/>
  <c r="P175" i="1"/>
  <c r="O175" i="1"/>
  <c r="N175" i="1"/>
  <c r="N169" i="1"/>
  <c r="T167" i="1"/>
  <c r="N165" i="1"/>
  <c r="F151" i="1"/>
  <c r="T151" i="1" s="1"/>
  <c r="Q163" i="1"/>
  <c r="Q172" i="1"/>
  <c r="P172" i="1"/>
  <c r="O172" i="1"/>
  <c r="N172" i="1"/>
  <c r="T172" i="1"/>
  <c r="T171" i="1"/>
  <c r="Q171" i="1"/>
  <c r="P171" i="1"/>
  <c r="O171" i="1"/>
  <c r="N171" i="1"/>
  <c r="S171" i="1"/>
  <c r="Q170" i="1"/>
  <c r="O170" i="1"/>
  <c r="P170" i="1"/>
  <c r="Q169" i="1"/>
  <c r="O169" i="1"/>
  <c r="P169" i="1"/>
  <c r="Q168" i="1"/>
  <c r="P168" i="1"/>
  <c r="O168" i="1"/>
  <c r="N168" i="1"/>
  <c r="T168" i="1"/>
  <c r="P167" i="1"/>
  <c r="O167" i="1"/>
  <c r="P166" i="1"/>
  <c r="O166" i="1"/>
  <c r="O165" i="1"/>
  <c r="T165" i="1"/>
  <c r="Q165" i="1"/>
  <c r="P165" i="1"/>
  <c r="T164" i="1"/>
  <c r="S164" i="1"/>
  <c r="O164" i="1"/>
  <c r="N164" i="1"/>
  <c r="P164" i="1"/>
  <c r="P163" i="1"/>
  <c r="O163" i="1"/>
  <c r="T163" i="1"/>
  <c r="F152" i="1"/>
  <c r="F153" i="1"/>
  <c r="F154" i="1"/>
  <c r="F155" i="1"/>
  <c r="F156" i="1"/>
  <c r="F157" i="1"/>
  <c r="F158" i="1"/>
  <c r="F159" i="1"/>
  <c r="T159" i="1" s="1"/>
  <c r="F160" i="1"/>
  <c r="F78" i="1"/>
  <c r="Q153" i="1"/>
  <c r="Q151" i="1"/>
  <c r="C152" i="1"/>
  <c r="C153" i="1"/>
  <c r="C154" i="1"/>
  <c r="C155" i="1"/>
  <c r="C156" i="1"/>
  <c r="C157" i="1"/>
  <c r="C158" i="1"/>
  <c r="P158" i="1" s="1"/>
  <c r="C159" i="1"/>
  <c r="P159" i="1" s="1"/>
  <c r="C160" i="1"/>
  <c r="C151" i="1"/>
  <c r="C78" i="1"/>
  <c r="Q160" i="1"/>
  <c r="P160" i="1"/>
  <c r="O160" i="1"/>
  <c r="T160" i="1"/>
  <c r="Q159" i="1"/>
  <c r="O159" i="1"/>
  <c r="Q158" i="1"/>
  <c r="O158" i="1"/>
  <c r="T158" i="1"/>
  <c r="T157" i="1"/>
  <c r="Q157" i="1"/>
  <c r="P157" i="1"/>
  <c r="O157" i="1"/>
  <c r="N157" i="1"/>
  <c r="S157" i="1"/>
  <c r="T156" i="1"/>
  <c r="Q156" i="1"/>
  <c r="P156" i="1"/>
  <c r="O156" i="1"/>
  <c r="S156" i="1"/>
  <c r="T155" i="1"/>
  <c r="S155" i="1"/>
  <c r="P155" i="1"/>
  <c r="O155" i="1"/>
  <c r="N155" i="1"/>
  <c r="T154" i="1"/>
  <c r="P154" i="1"/>
  <c r="O154" i="1"/>
  <c r="S154" i="1"/>
  <c r="Q154" i="1"/>
  <c r="O153" i="1"/>
  <c r="T153" i="1"/>
  <c r="P153" i="1"/>
  <c r="T152" i="1"/>
  <c r="S152" i="1"/>
  <c r="Q152" i="1"/>
  <c r="O152" i="1"/>
  <c r="N152" i="1"/>
  <c r="P152" i="1"/>
  <c r="P151" i="1"/>
  <c r="O151" i="1"/>
  <c r="C139" i="1"/>
  <c r="C140" i="1"/>
  <c r="C141" i="1"/>
  <c r="C142" i="1"/>
  <c r="C143" i="1"/>
  <c r="C144" i="1"/>
  <c r="C145" i="1"/>
  <c r="P145" i="1" s="1"/>
  <c r="C146" i="1"/>
  <c r="P146" i="1" s="1"/>
  <c r="C147" i="1"/>
  <c r="T147" i="1"/>
  <c r="S147" i="1"/>
  <c r="Q147" i="1"/>
  <c r="O147" i="1"/>
  <c r="N147" i="1"/>
  <c r="P147" i="1"/>
  <c r="T146" i="1"/>
  <c r="S146" i="1"/>
  <c r="Q146" i="1"/>
  <c r="O146" i="1"/>
  <c r="N146" i="1"/>
  <c r="T145" i="1"/>
  <c r="S145" i="1"/>
  <c r="Q145" i="1"/>
  <c r="O145" i="1"/>
  <c r="N145" i="1"/>
  <c r="T144" i="1"/>
  <c r="S144" i="1"/>
  <c r="Q144" i="1"/>
  <c r="P144" i="1"/>
  <c r="O144" i="1"/>
  <c r="N144" i="1"/>
  <c r="T143" i="1"/>
  <c r="S143" i="1"/>
  <c r="Q143" i="1"/>
  <c r="O143" i="1"/>
  <c r="N143" i="1"/>
  <c r="P143" i="1"/>
  <c r="T142" i="1"/>
  <c r="S142" i="1"/>
  <c r="Q142" i="1"/>
  <c r="P142" i="1"/>
  <c r="O142" i="1"/>
  <c r="N142" i="1"/>
  <c r="T141" i="1"/>
  <c r="S141" i="1"/>
  <c r="Q141" i="1"/>
  <c r="O141" i="1"/>
  <c r="N141" i="1"/>
  <c r="P141" i="1"/>
  <c r="T140" i="1"/>
  <c r="S140" i="1"/>
  <c r="Q140" i="1"/>
  <c r="O140" i="1"/>
  <c r="N140" i="1"/>
  <c r="P140" i="1"/>
  <c r="R140" i="1" s="1"/>
  <c r="E140" i="1" s="1"/>
  <c r="H140" i="1" s="1"/>
  <c r="T139" i="1"/>
  <c r="S139" i="1"/>
  <c r="Q139" i="1"/>
  <c r="P139" i="1"/>
  <c r="O139" i="1"/>
  <c r="N139" i="1"/>
  <c r="T138" i="1"/>
  <c r="S138" i="1"/>
  <c r="Q138" i="1"/>
  <c r="O138" i="1"/>
  <c r="N138" i="1"/>
  <c r="C127" i="1"/>
  <c r="C128" i="1"/>
  <c r="C129" i="1"/>
  <c r="C130" i="1"/>
  <c r="C115" i="1"/>
  <c r="C116" i="1"/>
  <c r="C117" i="1"/>
  <c r="C118" i="1"/>
  <c r="P130" i="1" s="1"/>
  <c r="C114" i="1"/>
  <c r="T135" i="1"/>
  <c r="S135" i="1"/>
  <c r="Q135" i="1"/>
  <c r="O135" i="1"/>
  <c r="N135" i="1"/>
  <c r="C135" i="1"/>
  <c r="P135" i="1" s="1"/>
  <c r="T134" i="1"/>
  <c r="S134" i="1"/>
  <c r="Q134" i="1"/>
  <c r="P134" i="1"/>
  <c r="O134" i="1"/>
  <c r="N134" i="1"/>
  <c r="C134" i="1"/>
  <c r="T133" i="1"/>
  <c r="S133" i="1"/>
  <c r="Q133" i="1"/>
  <c r="P133" i="1"/>
  <c r="O133" i="1"/>
  <c r="N133" i="1"/>
  <c r="R133" i="1" s="1"/>
  <c r="E133" i="1" s="1"/>
  <c r="H133" i="1" s="1"/>
  <c r="C133" i="1"/>
  <c r="T132" i="1"/>
  <c r="S132" i="1"/>
  <c r="Q132" i="1"/>
  <c r="O132" i="1"/>
  <c r="N132" i="1"/>
  <c r="C132" i="1"/>
  <c r="P132" i="1" s="1"/>
  <c r="T131" i="1"/>
  <c r="S131" i="1"/>
  <c r="Q131" i="1"/>
  <c r="O131" i="1"/>
  <c r="N131" i="1"/>
  <c r="C131" i="1"/>
  <c r="P131" i="1" s="1"/>
  <c r="R131" i="1" s="1"/>
  <c r="E131" i="1" s="1"/>
  <c r="H131" i="1" s="1"/>
  <c r="T130" i="1"/>
  <c r="S130" i="1"/>
  <c r="Q130" i="1"/>
  <c r="O130" i="1"/>
  <c r="N130" i="1"/>
  <c r="T129" i="1"/>
  <c r="S129" i="1"/>
  <c r="Q129" i="1"/>
  <c r="O129" i="1"/>
  <c r="N129" i="1"/>
  <c r="P129" i="1"/>
  <c r="T128" i="1"/>
  <c r="S128" i="1"/>
  <c r="Q128" i="1"/>
  <c r="P128" i="1"/>
  <c r="O128" i="1"/>
  <c r="N128" i="1"/>
  <c r="T127" i="1"/>
  <c r="S127" i="1"/>
  <c r="Q127" i="1"/>
  <c r="O127" i="1"/>
  <c r="N127" i="1"/>
  <c r="P127" i="1"/>
  <c r="T126" i="1"/>
  <c r="S126" i="1"/>
  <c r="Q126" i="1"/>
  <c r="O126" i="1"/>
  <c r="N126" i="1"/>
  <c r="T123" i="1"/>
  <c r="S123" i="1"/>
  <c r="Q123" i="1"/>
  <c r="P123" i="1"/>
  <c r="O123" i="1"/>
  <c r="N123" i="1"/>
  <c r="C123" i="1"/>
  <c r="T122" i="1"/>
  <c r="S122" i="1"/>
  <c r="Q122" i="1"/>
  <c r="O122" i="1"/>
  <c r="N122" i="1"/>
  <c r="C122" i="1"/>
  <c r="P122" i="1" s="1"/>
  <c r="T121" i="1"/>
  <c r="S121" i="1"/>
  <c r="Q121" i="1"/>
  <c r="O121" i="1"/>
  <c r="N121" i="1"/>
  <c r="C121" i="1"/>
  <c r="P121" i="1" s="1"/>
  <c r="T120" i="1"/>
  <c r="S120" i="1"/>
  <c r="Q120" i="1"/>
  <c r="P120" i="1"/>
  <c r="O120" i="1"/>
  <c r="N120" i="1"/>
  <c r="C120" i="1"/>
  <c r="T119" i="1"/>
  <c r="S119" i="1"/>
  <c r="Q119" i="1"/>
  <c r="O119" i="1"/>
  <c r="N119" i="1"/>
  <c r="C119" i="1"/>
  <c r="P119" i="1" s="1"/>
  <c r="T118" i="1"/>
  <c r="S118" i="1"/>
  <c r="Q118" i="1"/>
  <c r="O118" i="1"/>
  <c r="N118" i="1"/>
  <c r="T117" i="1"/>
  <c r="S117" i="1"/>
  <c r="Q117" i="1"/>
  <c r="P117" i="1"/>
  <c r="R117" i="1" s="1"/>
  <c r="E117" i="1" s="1"/>
  <c r="H117" i="1" s="1"/>
  <c r="O117" i="1"/>
  <c r="N117" i="1"/>
  <c r="T116" i="1"/>
  <c r="S116" i="1"/>
  <c r="Q116" i="1"/>
  <c r="P116" i="1"/>
  <c r="O116" i="1"/>
  <c r="N116" i="1"/>
  <c r="T115" i="1"/>
  <c r="S115" i="1"/>
  <c r="Q115" i="1"/>
  <c r="P115" i="1"/>
  <c r="O115" i="1"/>
  <c r="N115" i="1"/>
  <c r="T114" i="1"/>
  <c r="S114" i="1"/>
  <c r="Q114" i="1"/>
  <c r="O114" i="1"/>
  <c r="N114" i="1"/>
  <c r="C103" i="1"/>
  <c r="C104" i="1"/>
  <c r="C105" i="1"/>
  <c r="C106" i="1"/>
  <c r="C102" i="1"/>
  <c r="P102" i="1" s="1"/>
  <c r="T111" i="1"/>
  <c r="S111" i="1"/>
  <c r="Q111" i="1"/>
  <c r="P111" i="1"/>
  <c r="O111" i="1"/>
  <c r="N111" i="1"/>
  <c r="C111" i="1"/>
  <c r="T110" i="1"/>
  <c r="S110" i="1"/>
  <c r="Q110" i="1"/>
  <c r="P110" i="1"/>
  <c r="O110" i="1"/>
  <c r="N110" i="1"/>
  <c r="C110" i="1"/>
  <c r="T109" i="1"/>
  <c r="S109" i="1"/>
  <c r="Q109" i="1"/>
  <c r="O109" i="1"/>
  <c r="N109" i="1"/>
  <c r="C109" i="1"/>
  <c r="P109" i="1" s="1"/>
  <c r="T108" i="1"/>
  <c r="S108" i="1"/>
  <c r="Q108" i="1"/>
  <c r="O108" i="1"/>
  <c r="N108" i="1"/>
  <c r="C108" i="1"/>
  <c r="P108" i="1" s="1"/>
  <c r="T107" i="1"/>
  <c r="S107" i="1"/>
  <c r="Q107" i="1"/>
  <c r="P107" i="1"/>
  <c r="O107" i="1"/>
  <c r="N107" i="1"/>
  <c r="C107" i="1"/>
  <c r="T106" i="1"/>
  <c r="S106" i="1"/>
  <c r="Q106" i="1"/>
  <c r="P106" i="1"/>
  <c r="O106" i="1"/>
  <c r="N106" i="1"/>
  <c r="R106" i="1" s="1"/>
  <c r="E106" i="1" s="1"/>
  <c r="H106" i="1" s="1"/>
  <c r="T105" i="1"/>
  <c r="S105" i="1"/>
  <c r="Q105" i="1"/>
  <c r="O105" i="1"/>
  <c r="N105" i="1"/>
  <c r="P105" i="1"/>
  <c r="T104" i="1"/>
  <c r="S104" i="1"/>
  <c r="Q104" i="1"/>
  <c r="O104" i="1"/>
  <c r="N104" i="1"/>
  <c r="P104" i="1"/>
  <c r="R104" i="1" s="1"/>
  <c r="E104" i="1" s="1"/>
  <c r="H104" i="1" s="1"/>
  <c r="T103" i="1"/>
  <c r="S103" i="1"/>
  <c r="Q103" i="1"/>
  <c r="P103" i="1"/>
  <c r="O103" i="1"/>
  <c r="N103" i="1"/>
  <c r="T102" i="1"/>
  <c r="S102" i="1"/>
  <c r="Q102" i="1"/>
  <c r="O102" i="1"/>
  <c r="N102" i="1"/>
  <c r="T99" i="1"/>
  <c r="T98" i="1"/>
  <c r="T96" i="1"/>
  <c r="N93" i="1"/>
  <c r="T90" i="1"/>
  <c r="C91" i="1"/>
  <c r="C92" i="1"/>
  <c r="P92" i="1" s="1"/>
  <c r="C93" i="1"/>
  <c r="C94" i="1"/>
  <c r="C95" i="1"/>
  <c r="C96" i="1"/>
  <c r="C97" i="1"/>
  <c r="C98" i="1"/>
  <c r="P98" i="1" s="1"/>
  <c r="C99" i="1"/>
  <c r="C90" i="1"/>
  <c r="P90" i="1" s="1"/>
  <c r="Q99" i="1"/>
  <c r="O99" i="1"/>
  <c r="P99" i="1"/>
  <c r="Q98" i="1"/>
  <c r="O98" i="1"/>
  <c r="S97" i="1"/>
  <c r="Q97" i="1"/>
  <c r="P97" i="1"/>
  <c r="O97" i="1"/>
  <c r="N97" i="1"/>
  <c r="Q96" i="1"/>
  <c r="O96" i="1"/>
  <c r="P96" i="1"/>
  <c r="Q95" i="1"/>
  <c r="O95" i="1"/>
  <c r="T95" i="1"/>
  <c r="P95" i="1"/>
  <c r="T94" i="1"/>
  <c r="S94" i="1"/>
  <c r="Q94" i="1"/>
  <c r="O94" i="1"/>
  <c r="N94" i="1"/>
  <c r="P94" i="1"/>
  <c r="T93" i="1"/>
  <c r="S93" i="1"/>
  <c r="Q93" i="1"/>
  <c r="P93" i="1"/>
  <c r="O93" i="1"/>
  <c r="Q92" i="1"/>
  <c r="O92" i="1"/>
  <c r="T92" i="1"/>
  <c r="O91" i="1"/>
  <c r="T91" i="1"/>
  <c r="Q91" i="1"/>
  <c r="P91" i="1"/>
  <c r="O90" i="1"/>
  <c r="Q90" i="1"/>
  <c r="F79" i="1"/>
  <c r="F80" i="1"/>
  <c r="F81" i="1"/>
  <c r="F82" i="1"/>
  <c r="F83" i="1"/>
  <c r="F84" i="1"/>
  <c r="T84" i="1" s="1"/>
  <c r="F85" i="1"/>
  <c r="T85" i="1" s="1"/>
  <c r="F86" i="1"/>
  <c r="T86" i="1" s="1"/>
  <c r="F87" i="1"/>
  <c r="T87" i="1" s="1"/>
  <c r="N78" i="1"/>
  <c r="F2" i="1"/>
  <c r="Q82" i="1"/>
  <c r="Q83" i="1"/>
  <c r="Q84" i="1"/>
  <c r="Q85" i="1"/>
  <c r="C79" i="1"/>
  <c r="C80" i="1"/>
  <c r="C81" i="1"/>
  <c r="C82" i="1"/>
  <c r="C83" i="1"/>
  <c r="P83" i="1" s="1"/>
  <c r="C84" i="1"/>
  <c r="C85" i="1"/>
  <c r="C86" i="1"/>
  <c r="P86" i="1" s="1"/>
  <c r="C87" i="1"/>
  <c r="P78" i="1"/>
  <c r="C2" i="1"/>
  <c r="Q87" i="1"/>
  <c r="P87" i="1"/>
  <c r="O87" i="1"/>
  <c r="Q86" i="1"/>
  <c r="O86" i="1"/>
  <c r="N86" i="1"/>
  <c r="P85" i="1"/>
  <c r="O85" i="1"/>
  <c r="P84" i="1"/>
  <c r="O84" i="1"/>
  <c r="S83" i="1"/>
  <c r="O83" i="1"/>
  <c r="N83" i="1"/>
  <c r="T82" i="1"/>
  <c r="P82" i="1"/>
  <c r="O82" i="1"/>
  <c r="N82" i="1"/>
  <c r="S82" i="1"/>
  <c r="O81" i="1"/>
  <c r="T81" i="1"/>
  <c r="Q81" i="1"/>
  <c r="P81" i="1"/>
  <c r="T80" i="1"/>
  <c r="O80" i="1"/>
  <c r="S80" i="1"/>
  <c r="Q80" i="1"/>
  <c r="P80" i="1"/>
  <c r="T79" i="1"/>
  <c r="S79" i="1"/>
  <c r="Q79" i="1"/>
  <c r="O79" i="1"/>
  <c r="N79" i="1"/>
  <c r="P79" i="1"/>
  <c r="S78" i="1"/>
  <c r="Q78" i="1"/>
  <c r="O78" i="1"/>
  <c r="T65" i="1"/>
  <c r="T66" i="1"/>
  <c r="T67" i="1"/>
  <c r="T68" i="1"/>
  <c r="T69" i="1"/>
  <c r="T70" i="1"/>
  <c r="T71" i="1"/>
  <c r="T72" i="1"/>
  <c r="T73" i="1"/>
  <c r="T64" i="1"/>
  <c r="S65" i="1"/>
  <c r="S66" i="1"/>
  <c r="S67" i="1"/>
  <c r="S68" i="1"/>
  <c r="S69" i="1"/>
  <c r="S70" i="1"/>
  <c r="S71" i="1"/>
  <c r="S72" i="1"/>
  <c r="S73" i="1"/>
  <c r="S64" i="1"/>
  <c r="Q65" i="1"/>
  <c r="Q66" i="1"/>
  <c r="Q67" i="1"/>
  <c r="Q68" i="1"/>
  <c r="Q69" i="1"/>
  <c r="Q70" i="1"/>
  <c r="Q71" i="1"/>
  <c r="Q72" i="1"/>
  <c r="Q73" i="1"/>
  <c r="Q64" i="1"/>
  <c r="P65" i="1"/>
  <c r="P66" i="1"/>
  <c r="P67" i="1"/>
  <c r="P68" i="1"/>
  <c r="P69" i="1"/>
  <c r="P70" i="1"/>
  <c r="P71" i="1"/>
  <c r="P72" i="1"/>
  <c r="P73" i="1"/>
  <c r="P64" i="1"/>
  <c r="O65" i="1"/>
  <c r="O66" i="1"/>
  <c r="O67" i="1"/>
  <c r="O68" i="1"/>
  <c r="O69" i="1"/>
  <c r="O70" i="1"/>
  <c r="O71" i="1"/>
  <c r="O72" i="1"/>
  <c r="O73" i="1"/>
  <c r="O64" i="1"/>
  <c r="N65" i="1"/>
  <c r="N66" i="1"/>
  <c r="N67" i="1"/>
  <c r="N68" i="1"/>
  <c r="N69" i="1"/>
  <c r="N70" i="1"/>
  <c r="N71" i="1"/>
  <c r="N72" i="1"/>
  <c r="N73" i="1"/>
  <c r="R68" i="1"/>
  <c r="N64" i="1"/>
  <c r="F65" i="1"/>
  <c r="F66" i="1"/>
  <c r="F67" i="1"/>
  <c r="F68" i="1"/>
  <c r="F69" i="1"/>
  <c r="F70" i="1"/>
  <c r="F71" i="1"/>
  <c r="F72" i="1"/>
  <c r="F73" i="1"/>
  <c r="F64" i="1"/>
  <c r="F52" i="1"/>
  <c r="T52" i="1" s="1"/>
  <c r="C65" i="1"/>
  <c r="C66" i="1"/>
  <c r="C67" i="1"/>
  <c r="C68" i="1"/>
  <c r="T53" i="1"/>
  <c r="T54" i="1"/>
  <c r="T55" i="1"/>
  <c r="T56" i="1"/>
  <c r="T57" i="1"/>
  <c r="T58" i="1"/>
  <c r="T59" i="1"/>
  <c r="T60" i="1"/>
  <c r="T61" i="1"/>
  <c r="S53" i="1"/>
  <c r="S54" i="1"/>
  <c r="S55" i="1"/>
  <c r="S56" i="1"/>
  <c r="S57" i="1"/>
  <c r="S58" i="1"/>
  <c r="S59" i="1"/>
  <c r="S60" i="1"/>
  <c r="S61" i="1"/>
  <c r="S52" i="1"/>
  <c r="Q53" i="1"/>
  <c r="Q54" i="1"/>
  <c r="Q55" i="1"/>
  <c r="Q56" i="1"/>
  <c r="Q57" i="1"/>
  <c r="Q58" i="1"/>
  <c r="Q59" i="1"/>
  <c r="Q60" i="1"/>
  <c r="Q61" i="1"/>
  <c r="Q52" i="1"/>
  <c r="P53" i="1"/>
  <c r="P54" i="1"/>
  <c r="P55" i="1"/>
  <c r="P56" i="1"/>
  <c r="P57" i="1"/>
  <c r="P58" i="1"/>
  <c r="P59" i="1"/>
  <c r="P60" i="1"/>
  <c r="P61" i="1"/>
  <c r="P52" i="1"/>
  <c r="O53" i="1"/>
  <c r="O54" i="1"/>
  <c r="O55" i="1"/>
  <c r="O56" i="1"/>
  <c r="O57" i="1"/>
  <c r="O58" i="1"/>
  <c r="O59" i="1"/>
  <c r="O60" i="1"/>
  <c r="O61" i="1"/>
  <c r="O52" i="1"/>
  <c r="N53" i="1"/>
  <c r="N54" i="1"/>
  <c r="N55" i="1"/>
  <c r="N56" i="1"/>
  <c r="N57" i="1"/>
  <c r="N58" i="1"/>
  <c r="N59" i="1"/>
  <c r="N60" i="1"/>
  <c r="N61" i="1"/>
  <c r="T41" i="1"/>
  <c r="T42" i="1"/>
  <c r="T43" i="1"/>
  <c r="T44" i="1"/>
  <c r="T45" i="1"/>
  <c r="T46" i="1"/>
  <c r="T47" i="1"/>
  <c r="T48" i="1"/>
  <c r="T49" i="1"/>
  <c r="T40" i="1"/>
  <c r="S41" i="1"/>
  <c r="S42" i="1"/>
  <c r="S43" i="1"/>
  <c r="S44" i="1"/>
  <c r="S45" i="1"/>
  <c r="S46" i="1"/>
  <c r="S47" i="1"/>
  <c r="S48" i="1"/>
  <c r="S49" i="1"/>
  <c r="S40" i="1"/>
  <c r="Q41" i="1"/>
  <c r="Q42" i="1"/>
  <c r="Q43" i="1"/>
  <c r="Q44" i="1"/>
  <c r="Q45" i="1"/>
  <c r="Q46" i="1"/>
  <c r="Q47" i="1"/>
  <c r="Q48" i="1"/>
  <c r="Q49" i="1"/>
  <c r="P41" i="1"/>
  <c r="P42" i="1"/>
  <c r="P43" i="1"/>
  <c r="P44" i="1"/>
  <c r="P45" i="1"/>
  <c r="P46" i="1"/>
  <c r="P47" i="1"/>
  <c r="P48" i="1"/>
  <c r="P49" i="1"/>
  <c r="P40" i="1"/>
  <c r="O41" i="1"/>
  <c r="O42" i="1"/>
  <c r="O43" i="1"/>
  <c r="O44" i="1"/>
  <c r="O45" i="1"/>
  <c r="O46" i="1"/>
  <c r="O47" i="1"/>
  <c r="O48" i="1"/>
  <c r="O49" i="1"/>
  <c r="O40" i="1"/>
  <c r="N41" i="1"/>
  <c r="N42" i="1"/>
  <c r="N43" i="1"/>
  <c r="N44" i="1"/>
  <c r="N45" i="1"/>
  <c r="N46" i="1"/>
  <c r="N47" i="1"/>
  <c r="N48" i="1"/>
  <c r="N49" i="1"/>
  <c r="N40" i="1"/>
  <c r="N29" i="1"/>
  <c r="N30" i="1"/>
  <c r="N31" i="1"/>
  <c r="N32" i="1"/>
  <c r="N33" i="1"/>
  <c r="N34" i="1"/>
  <c r="N35" i="1"/>
  <c r="N36" i="1"/>
  <c r="N37" i="1"/>
  <c r="N28" i="1"/>
  <c r="N3" i="1"/>
  <c r="N4" i="1"/>
  <c r="N5" i="1"/>
  <c r="N6" i="1"/>
  <c r="N7" i="1"/>
  <c r="N8" i="1"/>
  <c r="N9" i="1"/>
  <c r="N10" i="1"/>
  <c r="N11" i="1"/>
  <c r="R49" i="1"/>
  <c r="E49" i="1" s="1"/>
  <c r="R43" i="1"/>
  <c r="E43" i="1" s="1"/>
  <c r="T37" i="1"/>
  <c r="S37" i="1"/>
  <c r="Q37" i="1"/>
  <c r="P37" i="1"/>
  <c r="R37" i="1" s="1"/>
  <c r="E37" i="1" s="1"/>
  <c r="O37" i="1"/>
  <c r="T36" i="1"/>
  <c r="Q36" i="1"/>
  <c r="P36" i="1"/>
  <c r="O36" i="1"/>
  <c r="T35" i="1"/>
  <c r="Q35" i="1"/>
  <c r="P35" i="1"/>
  <c r="O35" i="1"/>
  <c r="S34" i="1"/>
  <c r="Q34" i="1"/>
  <c r="P34" i="1"/>
  <c r="O34" i="1"/>
  <c r="T33" i="1"/>
  <c r="Q33" i="1"/>
  <c r="P33" i="1"/>
  <c r="O33" i="1"/>
  <c r="Q32" i="1"/>
  <c r="O32" i="1"/>
  <c r="Q31" i="1"/>
  <c r="O31" i="1"/>
  <c r="T30" i="1"/>
  <c r="Q30" i="1"/>
  <c r="O30" i="1"/>
  <c r="O29" i="1"/>
  <c r="T28" i="1"/>
  <c r="S28" i="1"/>
  <c r="Q28" i="1"/>
  <c r="O28" i="1"/>
  <c r="Q25" i="1"/>
  <c r="P25" i="1"/>
  <c r="O25" i="1"/>
  <c r="S24" i="1"/>
  <c r="Q24" i="1"/>
  <c r="P24" i="1"/>
  <c r="O24" i="1"/>
  <c r="T23" i="1"/>
  <c r="Q23" i="1"/>
  <c r="P23" i="1"/>
  <c r="O23" i="1"/>
  <c r="Q22" i="1"/>
  <c r="P22" i="1"/>
  <c r="O22" i="1"/>
  <c r="N22" i="1"/>
  <c r="R22" i="1" s="1"/>
  <c r="E22" i="1" s="1"/>
  <c r="Q21" i="1"/>
  <c r="P21" i="1"/>
  <c r="O21" i="1"/>
  <c r="O20" i="1"/>
  <c r="Q19" i="1"/>
  <c r="P19" i="1"/>
  <c r="O19" i="1"/>
  <c r="T18" i="1"/>
  <c r="Q18" i="1"/>
  <c r="O18" i="1"/>
  <c r="T17" i="1"/>
  <c r="Q17" i="1"/>
  <c r="O17" i="1"/>
  <c r="O16" i="1"/>
  <c r="C64" i="1"/>
  <c r="C52" i="1"/>
  <c r="F53" i="1"/>
  <c r="F54" i="1"/>
  <c r="F55" i="1"/>
  <c r="F56" i="1"/>
  <c r="F57" i="1"/>
  <c r="F58" i="1"/>
  <c r="F59" i="1"/>
  <c r="F60" i="1"/>
  <c r="F61" i="1"/>
  <c r="F40" i="1"/>
  <c r="C53" i="1"/>
  <c r="C54" i="1"/>
  <c r="C55" i="1"/>
  <c r="C56" i="1"/>
  <c r="C40" i="1"/>
  <c r="F41" i="1"/>
  <c r="F42" i="1"/>
  <c r="F43" i="1"/>
  <c r="F44" i="1"/>
  <c r="F45" i="1"/>
  <c r="F46" i="1"/>
  <c r="F47" i="1"/>
  <c r="F48" i="1"/>
  <c r="F49" i="1"/>
  <c r="F28" i="1"/>
  <c r="C41" i="1"/>
  <c r="C42" i="1"/>
  <c r="C43" i="1"/>
  <c r="C44" i="1"/>
  <c r="C28" i="1"/>
  <c r="F29" i="1"/>
  <c r="F30" i="1"/>
  <c r="T29" i="1" s="1"/>
  <c r="F31" i="1"/>
  <c r="S30" i="1" s="1"/>
  <c r="F32" i="1"/>
  <c r="F33" i="1"/>
  <c r="T32" i="1" s="1"/>
  <c r="F34" i="1"/>
  <c r="S33" i="1" s="1"/>
  <c r="F35" i="1"/>
  <c r="T34" i="1" s="1"/>
  <c r="F36" i="1"/>
  <c r="S35" i="1" s="1"/>
  <c r="F37" i="1"/>
  <c r="R36" i="1" s="1"/>
  <c r="E36" i="1" s="1"/>
  <c r="Q29" i="1"/>
  <c r="F16" i="1"/>
  <c r="S16" i="1" s="1"/>
  <c r="C29" i="1"/>
  <c r="C30" i="1"/>
  <c r="C31" i="1"/>
  <c r="C32" i="1"/>
  <c r="C16" i="1"/>
  <c r="P16" i="1" s="1"/>
  <c r="F17" i="1"/>
  <c r="S17" i="1" s="1"/>
  <c r="F18" i="1"/>
  <c r="N18" i="1" s="1"/>
  <c r="F19" i="1"/>
  <c r="T19" i="1" s="1"/>
  <c r="F20" i="1"/>
  <c r="T20" i="1" s="1"/>
  <c r="F21" i="1"/>
  <c r="N21" i="1" s="1"/>
  <c r="F22" i="1"/>
  <c r="T22" i="1" s="1"/>
  <c r="F23" i="1"/>
  <c r="S23" i="1" s="1"/>
  <c r="F24" i="1"/>
  <c r="T24" i="1" s="1"/>
  <c r="F25" i="1"/>
  <c r="T25" i="1" s="1"/>
  <c r="Q20" i="1"/>
  <c r="C17" i="1"/>
  <c r="P17" i="1" s="1"/>
  <c r="C18" i="1"/>
  <c r="P18" i="1" s="1"/>
  <c r="C19" i="1"/>
  <c r="C20" i="1"/>
  <c r="P20" i="1" s="1"/>
  <c r="T3" i="1"/>
  <c r="T5" i="1"/>
  <c r="T6" i="1"/>
  <c r="T10" i="1"/>
  <c r="T2" i="1"/>
  <c r="S5" i="1"/>
  <c r="S6" i="1"/>
  <c r="S7" i="1"/>
  <c r="S9" i="1"/>
  <c r="S11" i="1"/>
  <c r="S2" i="1"/>
  <c r="Q7" i="1"/>
  <c r="R7" i="1" s="1"/>
  <c r="Q8" i="1"/>
  <c r="R8" i="1" s="1"/>
  <c r="Q9" i="1"/>
  <c r="Q10" i="1"/>
  <c r="Q11" i="1"/>
  <c r="P3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R9" i="1"/>
  <c r="R11" i="1"/>
  <c r="N2" i="1"/>
  <c r="F3" i="1"/>
  <c r="S3" i="1" s="1"/>
  <c r="F4" i="1"/>
  <c r="T4" i="1" s="1"/>
  <c r="F5" i="1"/>
  <c r="F6" i="1"/>
  <c r="F7" i="1"/>
  <c r="T7" i="1" s="1"/>
  <c r="F8" i="1"/>
  <c r="S8" i="1" s="1"/>
  <c r="F9" i="1"/>
  <c r="T9" i="1" s="1"/>
  <c r="F10" i="1"/>
  <c r="S10" i="1" s="1"/>
  <c r="F11" i="1"/>
  <c r="T11" i="1" s="1"/>
  <c r="Q3" i="1"/>
  <c r="Q4" i="1"/>
  <c r="Q5" i="1"/>
  <c r="Q6" i="1"/>
  <c r="C3" i="1"/>
  <c r="C4" i="1"/>
  <c r="P4" i="1" s="1"/>
  <c r="C5" i="1"/>
  <c r="P5" i="1" s="1"/>
  <c r="C6" i="1"/>
  <c r="E36" i="2"/>
  <c r="E37" i="2"/>
  <c r="E38" i="2"/>
  <c r="E39" i="2"/>
  <c r="E40" i="2"/>
  <c r="E41" i="2"/>
  <c r="E42" i="2"/>
  <c r="E43" i="2"/>
  <c r="E44" i="2"/>
  <c r="E35" i="2"/>
  <c r="D36" i="2"/>
  <c r="D37" i="2"/>
  <c r="D38" i="2"/>
  <c r="D39" i="2"/>
  <c r="D40" i="2"/>
  <c r="D41" i="2"/>
  <c r="D42" i="2"/>
  <c r="D43" i="2"/>
  <c r="D44" i="2"/>
  <c r="D35" i="2"/>
  <c r="W24" i="2"/>
  <c r="W16" i="2"/>
  <c r="W17" i="2"/>
  <c r="W18" i="2"/>
  <c r="W19" i="2"/>
  <c r="W20" i="2"/>
  <c r="W21" i="2"/>
  <c r="W22" i="2"/>
  <c r="W23" i="2"/>
  <c r="W15" i="2"/>
  <c r="N17" i="2"/>
  <c r="N18" i="2"/>
  <c r="N19" i="2"/>
  <c r="N20" i="2"/>
  <c r="N21" i="2"/>
  <c r="N22" i="2"/>
  <c r="N23" i="2"/>
  <c r="N24" i="2"/>
  <c r="N25" i="2"/>
  <c r="N16" i="2"/>
  <c r="M17" i="2"/>
  <c r="M18" i="2"/>
  <c r="M19" i="2"/>
  <c r="M20" i="2"/>
  <c r="M21" i="2"/>
  <c r="M22" i="2"/>
  <c r="M23" i="2"/>
  <c r="M24" i="2"/>
  <c r="M25" i="2"/>
  <c r="M16" i="2"/>
  <c r="L17" i="2"/>
  <c r="L18" i="2"/>
  <c r="L19" i="2"/>
  <c r="L20" i="2"/>
  <c r="L21" i="2"/>
  <c r="L22" i="2"/>
  <c r="L23" i="2"/>
  <c r="L24" i="2"/>
  <c r="L25" i="2"/>
  <c r="L16" i="2"/>
  <c r="R216" i="1" l="1"/>
  <c r="E216" i="1" s="1"/>
  <c r="H216" i="1" s="1"/>
  <c r="R208" i="1"/>
  <c r="E208" i="1" s="1"/>
  <c r="H208" i="1" s="1"/>
  <c r="R206" i="1"/>
  <c r="E206" i="1" s="1"/>
  <c r="H206" i="1" s="1"/>
  <c r="R204" i="1"/>
  <c r="E204" i="1" s="1"/>
  <c r="H204" i="1" s="1"/>
  <c r="R193" i="1"/>
  <c r="E193" i="1" s="1"/>
  <c r="H193" i="1" s="1"/>
  <c r="R196" i="1"/>
  <c r="E196" i="1" s="1"/>
  <c r="H196" i="1" s="1"/>
  <c r="R180" i="1"/>
  <c r="E180" i="1" s="1"/>
  <c r="H180" i="1" s="1"/>
  <c r="R181" i="1"/>
  <c r="E181" i="1" s="1"/>
  <c r="H181" i="1" s="1"/>
  <c r="Q178" i="1"/>
  <c r="Q176" i="1"/>
  <c r="R176" i="1" s="1"/>
  <c r="E176" i="1" s="1"/>
  <c r="H176" i="1" s="1"/>
  <c r="Q177" i="1"/>
  <c r="R177" i="1" s="1"/>
  <c r="E177" i="1" s="1"/>
  <c r="H177" i="1" s="1"/>
  <c r="Q167" i="1"/>
  <c r="R178" i="1"/>
  <c r="E178" i="1" s="1"/>
  <c r="H178" i="1" s="1"/>
  <c r="Q155" i="1"/>
  <c r="Q164" i="1"/>
  <c r="R164" i="1" s="1"/>
  <c r="E164" i="1" s="1"/>
  <c r="H164" i="1" s="1"/>
  <c r="R157" i="1"/>
  <c r="Q166" i="1"/>
  <c r="R139" i="1"/>
  <c r="E139" i="1" s="1"/>
  <c r="H139" i="1" s="1"/>
  <c r="R144" i="1"/>
  <c r="E144" i="1" s="1"/>
  <c r="H144" i="1" s="1"/>
  <c r="R142" i="1"/>
  <c r="E142" i="1" s="1"/>
  <c r="H142" i="1" s="1"/>
  <c r="R146" i="1"/>
  <c r="E146" i="1" s="1"/>
  <c r="H146" i="1" s="1"/>
  <c r="R143" i="1"/>
  <c r="E143" i="1" s="1"/>
  <c r="H143" i="1" s="1"/>
  <c r="R128" i="1"/>
  <c r="E128" i="1" s="1"/>
  <c r="H128" i="1" s="1"/>
  <c r="R130" i="1"/>
  <c r="E130" i="1" s="1"/>
  <c r="H130" i="1" s="1"/>
  <c r="R134" i="1"/>
  <c r="E134" i="1" s="1"/>
  <c r="H134" i="1" s="1"/>
  <c r="R129" i="1"/>
  <c r="E129" i="1" s="1"/>
  <c r="H129" i="1" s="1"/>
  <c r="R120" i="1"/>
  <c r="E120" i="1" s="1"/>
  <c r="H120" i="1" s="1"/>
  <c r="R115" i="1"/>
  <c r="E115" i="1" s="1"/>
  <c r="H115" i="1" s="1"/>
  <c r="R123" i="1"/>
  <c r="E123" i="1" s="1"/>
  <c r="H123" i="1" s="1"/>
  <c r="R121" i="1"/>
  <c r="E121" i="1" s="1"/>
  <c r="H121" i="1" s="1"/>
  <c r="R116" i="1"/>
  <c r="E116" i="1" s="1"/>
  <c r="H116" i="1" s="1"/>
  <c r="R122" i="1"/>
  <c r="E122" i="1" s="1"/>
  <c r="H122" i="1" s="1"/>
  <c r="R111" i="1"/>
  <c r="E111" i="1" s="1"/>
  <c r="H111" i="1" s="1"/>
  <c r="R109" i="1"/>
  <c r="E109" i="1" s="1"/>
  <c r="H109" i="1" s="1"/>
  <c r="R107" i="1"/>
  <c r="E107" i="1" s="1"/>
  <c r="H107" i="1" s="1"/>
  <c r="R105" i="1"/>
  <c r="E105" i="1" s="1"/>
  <c r="H105" i="1" s="1"/>
  <c r="R110" i="1"/>
  <c r="E110" i="1" s="1"/>
  <c r="H110" i="1" s="1"/>
  <c r="R175" i="1"/>
  <c r="E175" i="1" s="1"/>
  <c r="H175" i="1" s="1"/>
  <c r="I175" i="1" s="1"/>
  <c r="R168" i="1"/>
  <c r="E168" i="1" s="1"/>
  <c r="H168" i="1" s="1"/>
  <c r="T169" i="1"/>
  <c r="N167" i="1"/>
  <c r="S167" i="1"/>
  <c r="S169" i="1"/>
  <c r="R172" i="1"/>
  <c r="R171" i="1"/>
  <c r="R169" i="1"/>
  <c r="E169" i="1" s="1"/>
  <c r="H169" i="1" s="1"/>
  <c r="R167" i="1"/>
  <c r="E167" i="1" s="1"/>
  <c r="H167" i="1" s="1"/>
  <c r="R165" i="1"/>
  <c r="E165" i="1" s="1"/>
  <c r="H165" i="1" s="1"/>
  <c r="E171" i="1"/>
  <c r="H171" i="1" s="1"/>
  <c r="N166" i="1"/>
  <c r="N170" i="1"/>
  <c r="R170" i="1" s="1"/>
  <c r="S170" i="1"/>
  <c r="S166" i="1"/>
  <c r="T170" i="1"/>
  <c r="T166" i="1"/>
  <c r="S165" i="1"/>
  <c r="N163" i="1"/>
  <c r="R163" i="1" s="1"/>
  <c r="S163" i="1"/>
  <c r="S168" i="1"/>
  <c r="S172" i="1"/>
  <c r="N159" i="1"/>
  <c r="S159" i="1"/>
  <c r="S151" i="1"/>
  <c r="R152" i="1"/>
  <c r="E152" i="1" s="1"/>
  <c r="H152" i="1" s="1"/>
  <c r="R155" i="1"/>
  <c r="E155" i="1" s="1"/>
  <c r="H155" i="1" s="1"/>
  <c r="R159" i="1"/>
  <c r="E159" i="1" s="1"/>
  <c r="H159" i="1" s="1"/>
  <c r="C126" i="1"/>
  <c r="C138" i="1" s="1"/>
  <c r="P138" i="1" s="1"/>
  <c r="R138" i="1" s="1"/>
  <c r="E138" i="1" s="1"/>
  <c r="H138" i="1" s="1"/>
  <c r="J138" i="1" s="1"/>
  <c r="E157" i="1"/>
  <c r="H157" i="1" s="1"/>
  <c r="N158" i="1"/>
  <c r="R158" i="1" s="1"/>
  <c r="N154" i="1"/>
  <c r="R154" i="1" s="1"/>
  <c r="E154" i="1" s="1"/>
  <c r="H154" i="1" s="1"/>
  <c r="N153" i="1"/>
  <c r="R153" i="1" s="1"/>
  <c r="S158" i="1"/>
  <c r="S153" i="1"/>
  <c r="N151" i="1"/>
  <c r="R151" i="1" s="1"/>
  <c r="N156" i="1"/>
  <c r="R156" i="1" s="1"/>
  <c r="E156" i="1" s="1"/>
  <c r="H156" i="1" s="1"/>
  <c r="N160" i="1"/>
  <c r="R160" i="1" s="1"/>
  <c r="S160" i="1"/>
  <c r="R145" i="1"/>
  <c r="E145" i="1" s="1"/>
  <c r="H145" i="1" s="1"/>
  <c r="R141" i="1"/>
  <c r="E141" i="1" s="1"/>
  <c r="H141" i="1" s="1"/>
  <c r="R147" i="1"/>
  <c r="E147" i="1" s="1"/>
  <c r="H147" i="1" s="1"/>
  <c r="R127" i="1"/>
  <c r="E127" i="1" s="1"/>
  <c r="H127" i="1" s="1"/>
  <c r="P118" i="1"/>
  <c r="R118" i="1" s="1"/>
  <c r="E118" i="1" s="1"/>
  <c r="H118" i="1" s="1"/>
  <c r="P114" i="1"/>
  <c r="R114" i="1" s="1"/>
  <c r="E114" i="1" s="1"/>
  <c r="H114" i="1" s="1"/>
  <c r="J114" i="1" s="1"/>
  <c r="R132" i="1"/>
  <c r="E132" i="1" s="1"/>
  <c r="H132" i="1" s="1"/>
  <c r="R135" i="1"/>
  <c r="E135" i="1" s="1"/>
  <c r="H135" i="1" s="1"/>
  <c r="R119" i="1"/>
  <c r="E119" i="1" s="1"/>
  <c r="H119" i="1" s="1"/>
  <c r="R103" i="1"/>
  <c r="E103" i="1" s="1"/>
  <c r="H103" i="1" s="1"/>
  <c r="R102" i="1"/>
  <c r="E102" i="1" s="1"/>
  <c r="H102" i="1" s="1"/>
  <c r="J102" i="1" s="1"/>
  <c r="R108" i="1"/>
  <c r="E108" i="1" s="1"/>
  <c r="H108" i="1" s="1"/>
  <c r="R97" i="1"/>
  <c r="N98" i="1"/>
  <c r="S98" i="1"/>
  <c r="R93" i="1"/>
  <c r="E93" i="1" s="1"/>
  <c r="H93" i="1" s="1"/>
  <c r="R94" i="1"/>
  <c r="E94" i="1" s="1"/>
  <c r="H94" i="1" s="1"/>
  <c r="R98" i="1"/>
  <c r="E98" i="1" s="1"/>
  <c r="H98" i="1" s="1"/>
  <c r="N92" i="1"/>
  <c r="R92" i="1" s="1"/>
  <c r="N96" i="1"/>
  <c r="R96" i="1" s="1"/>
  <c r="N91" i="1"/>
  <c r="R91" i="1" s="1"/>
  <c r="T97" i="1"/>
  <c r="E97" i="1" s="1"/>
  <c r="H97" i="1" s="1"/>
  <c r="S92" i="1"/>
  <c r="N90" i="1"/>
  <c r="R90" i="1" s="1"/>
  <c r="E90" i="1" s="1"/>
  <c r="H90" i="1" s="1"/>
  <c r="N95" i="1"/>
  <c r="R95" i="1" s="1"/>
  <c r="N99" i="1"/>
  <c r="R99" i="1" s="1"/>
  <c r="S96" i="1"/>
  <c r="S91" i="1"/>
  <c r="S90" i="1"/>
  <c r="S95" i="1"/>
  <c r="S99" i="1"/>
  <c r="S84" i="1"/>
  <c r="S86" i="1"/>
  <c r="R82" i="1"/>
  <c r="E82" i="1" s="1"/>
  <c r="H82" i="1" s="1"/>
  <c r="R83" i="1"/>
  <c r="R86" i="1"/>
  <c r="E86" i="1" s="1"/>
  <c r="H86" i="1" s="1"/>
  <c r="R78" i="1"/>
  <c r="R79" i="1"/>
  <c r="E79" i="1" s="1"/>
  <c r="H79" i="1" s="1"/>
  <c r="T83" i="1"/>
  <c r="N85" i="1"/>
  <c r="R85" i="1" s="1"/>
  <c r="T78" i="1"/>
  <c r="N81" i="1"/>
  <c r="R81" i="1" s="1"/>
  <c r="N80" i="1"/>
  <c r="R80" i="1" s="1"/>
  <c r="E80" i="1" s="1"/>
  <c r="H80" i="1" s="1"/>
  <c r="N84" i="1"/>
  <c r="R84" i="1" s="1"/>
  <c r="E84" i="1" s="1"/>
  <c r="H84" i="1" s="1"/>
  <c r="S85" i="1"/>
  <c r="N87" i="1"/>
  <c r="R87" i="1" s="1"/>
  <c r="S81" i="1"/>
  <c r="S87" i="1"/>
  <c r="R70" i="1"/>
  <c r="E70" i="1" s="1"/>
  <c r="R66" i="1"/>
  <c r="N52" i="1"/>
  <c r="R56" i="1"/>
  <c r="E56" i="1" s="1"/>
  <c r="H56" i="1" s="1"/>
  <c r="R46" i="1"/>
  <c r="E46" i="1" s="1"/>
  <c r="R18" i="1"/>
  <c r="E18" i="1" s="1"/>
  <c r="H49" i="1"/>
  <c r="R6" i="1"/>
  <c r="R5" i="1"/>
  <c r="R61" i="1"/>
  <c r="E61" i="1" s="1"/>
  <c r="H61" i="1" s="1"/>
  <c r="R41" i="1"/>
  <c r="E41" i="1" s="1"/>
  <c r="H41" i="1" s="1"/>
  <c r="N16" i="1"/>
  <c r="R16" i="1" s="1"/>
  <c r="E16" i="1" s="1"/>
  <c r="S18" i="1"/>
  <c r="N24" i="1"/>
  <c r="R24" i="1" s="1"/>
  <c r="E24" i="1" s="1"/>
  <c r="R34" i="1"/>
  <c r="E34" i="1" s="1"/>
  <c r="S36" i="1"/>
  <c r="R59" i="1"/>
  <c r="E59" i="1" s="1"/>
  <c r="H59" i="1" s="1"/>
  <c r="E68" i="1"/>
  <c r="R21" i="1"/>
  <c r="E21" i="1" s="1"/>
  <c r="H21" i="1" s="1"/>
  <c r="R4" i="1"/>
  <c r="S4" i="1"/>
  <c r="N19" i="1"/>
  <c r="R19" i="1" s="1"/>
  <c r="E19" i="1" s="1"/>
  <c r="S21" i="1"/>
  <c r="R29" i="1"/>
  <c r="E29" i="1" s="1"/>
  <c r="S31" i="1"/>
  <c r="R54" i="1"/>
  <c r="E54" i="1" s="1"/>
  <c r="R64" i="1"/>
  <c r="E64" i="1" s="1"/>
  <c r="R3" i="1"/>
  <c r="E3" i="1" s="1"/>
  <c r="H3" i="1" s="1"/>
  <c r="T21" i="1"/>
  <c r="T31" i="1"/>
  <c r="R47" i="1"/>
  <c r="E47" i="1" s="1"/>
  <c r="H47" i="1" s="1"/>
  <c r="R72" i="1"/>
  <c r="E72" i="1" s="1"/>
  <c r="R31" i="1"/>
  <c r="E31" i="1" s="1"/>
  <c r="R44" i="1"/>
  <c r="E44" i="1" s="1"/>
  <c r="R57" i="1"/>
  <c r="E57" i="1" s="1"/>
  <c r="H57" i="1" s="1"/>
  <c r="R67" i="1"/>
  <c r="R69" i="1"/>
  <c r="T16" i="1"/>
  <c r="R52" i="1"/>
  <c r="E52" i="1" s="1"/>
  <c r="N17" i="1"/>
  <c r="R17" i="1" s="1"/>
  <c r="E17" i="1" s="1"/>
  <c r="S19" i="1"/>
  <c r="N25" i="1"/>
  <c r="R25" i="1" s="1"/>
  <c r="E25" i="1" s="1"/>
  <c r="H25" i="1" s="1"/>
  <c r="S29" i="1"/>
  <c r="R35" i="1"/>
  <c r="E35" i="1" s="1"/>
  <c r="H35" i="1" s="1"/>
  <c r="R42" i="1"/>
  <c r="E42" i="1" s="1"/>
  <c r="R60" i="1"/>
  <c r="E60" i="1" s="1"/>
  <c r="N20" i="1"/>
  <c r="R20" i="1" s="1"/>
  <c r="E20" i="1" s="1"/>
  <c r="S22" i="1"/>
  <c r="R30" i="1"/>
  <c r="E30" i="1" s="1"/>
  <c r="S32" i="1"/>
  <c r="R45" i="1"/>
  <c r="E45" i="1" s="1"/>
  <c r="H45" i="1" s="1"/>
  <c r="R65" i="1"/>
  <c r="E65" i="1" s="1"/>
  <c r="T8" i="1"/>
  <c r="R40" i="1"/>
  <c r="E40" i="1" s="1"/>
  <c r="R48" i="1"/>
  <c r="E48" i="1" s="1"/>
  <c r="R73" i="1"/>
  <c r="E73" i="1" s="1"/>
  <c r="H73" i="1" s="1"/>
  <c r="N23" i="1"/>
  <c r="R23" i="1" s="1"/>
  <c r="E23" i="1" s="1"/>
  <c r="S25" i="1"/>
  <c r="R33" i="1"/>
  <c r="E33" i="1" s="1"/>
  <c r="H33" i="1" s="1"/>
  <c r="R58" i="1"/>
  <c r="E58" i="1" s="1"/>
  <c r="H58" i="1" s="1"/>
  <c r="R55" i="1"/>
  <c r="E55" i="1" s="1"/>
  <c r="R10" i="1"/>
  <c r="S20" i="1"/>
  <c r="R28" i="1"/>
  <c r="E28" i="1" s="1"/>
  <c r="R53" i="1"/>
  <c r="E53" i="1" s="1"/>
  <c r="H53" i="1" s="1"/>
  <c r="R71" i="1"/>
  <c r="E71" i="1" s="1"/>
  <c r="H71" i="1" s="1"/>
  <c r="E11" i="1"/>
  <c r="H11" i="1" s="1"/>
  <c r="E9" i="1"/>
  <c r="H9" i="1" s="1"/>
  <c r="H17" i="1"/>
  <c r="E8" i="1"/>
  <c r="H8" i="1" s="1"/>
  <c r="E7" i="1"/>
  <c r="H7" i="1" s="1"/>
  <c r="H29" i="1"/>
  <c r="H37" i="1"/>
  <c r="H23" i="1"/>
  <c r="R2" i="1"/>
  <c r="E2" i="1" s="1"/>
  <c r="E172" i="1" l="1"/>
  <c r="H172" i="1" s="1"/>
  <c r="R166" i="1"/>
  <c r="E166" i="1" s="1"/>
  <c r="H166" i="1" s="1"/>
  <c r="Q179" i="1"/>
  <c r="R179" i="1" s="1"/>
  <c r="E179" i="1" s="1"/>
  <c r="H179" i="1" s="1"/>
  <c r="Q189" i="1"/>
  <c r="R189" i="1" s="1"/>
  <c r="E189" i="1" s="1"/>
  <c r="H189" i="1" s="1"/>
  <c r="Q188" i="1"/>
  <c r="R188" i="1" s="1"/>
  <c r="E188" i="1" s="1"/>
  <c r="H188" i="1" s="1"/>
  <c r="Q190" i="1"/>
  <c r="R190" i="1" s="1"/>
  <c r="E190" i="1" s="1"/>
  <c r="H190" i="1" s="1"/>
  <c r="Q187" i="1"/>
  <c r="R187" i="1" s="1"/>
  <c r="E187" i="1" s="1"/>
  <c r="H187" i="1" s="1"/>
  <c r="J175" i="1"/>
  <c r="H46" i="1"/>
  <c r="I176" i="1"/>
  <c r="I177" i="1" s="1"/>
  <c r="I178" i="1" s="1"/>
  <c r="I179" i="1" s="1"/>
  <c r="I180" i="1" s="1"/>
  <c r="I181" i="1" s="1"/>
  <c r="I182" i="1" s="1"/>
  <c r="I183" i="1" s="1"/>
  <c r="I184" i="1" s="1"/>
  <c r="E163" i="1"/>
  <c r="H163" i="1" s="1"/>
  <c r="E170" i="1"/>
  <c r="H170" i="1" s="1"/>
  <c r="E153" i="1"/>
  <c r="H153" i="1" s="1"/>
  <c r="E151" i="1"/>
  <c r="H151" i="1" s="1"/>
  <c r="I151" i="1" s="1"/>
  <c r="I152" i="1" s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38" i="1"/>
  <c r="I139" i="1" s="1"/>
  <c r="I140" i="1" s="1"/>
  <c r="I141" i="1" s="1"/>
  <c r="I142" i="1" s="1"/>
  <c r="I143" i="1" s="1"/>
  <c r="I144" i="1" s="1"/>
  <c r="I145" i="1" s="1"/>
  <c r="I146" i="1" s="1"/>
  <c r="I147" i="1" s="1"/>
  <c r="P126" i="1"/>
  <c r="R126" i="1" s="1"/>
  <c r="E126" i="1" s="1"/>
  <c r="H126" i="1" s="1"/>
  <c r="E158" i="1"/>
  <c r="H158" i="1" s="1"/>
  <c r="E160" i="1"/>
  <c r="H160" i="1" s="1"/>
  <c r="I102" i="1"/>
  <c r="I103" i="1" s="1"/>
  <c r="I104" i="1" s="1"/>
  <c r="I105" i="1" s="1"/>
  <c r="I106" i="1" s="1"/>
  <c r="I107" i="1" s="1"/>
  <c r="I108" i="1" s="1"/>
  <c r="I109" i="1" s="1"/>
  <c r="I110" i="1" s="1"/>
  <c r="I111" i="1" s="1"/>
  <c r="E96" i="1"/>
  <c r="H96" i="1" s="1"/>
  <c r="E99" i="1"/>
  <c r="H99" i="1" s="1"/>
  <c r="E95" i="1"/>
  <c r="H95" i="1" s="1"/>
  <c r="E91" i="1"/>
  <c r="H91" i="1" s="1"/>
  <c r="J90" i="1" s="1"/>
  <c r="I90" i="1"/>
  <c r="E92" i="1"/>
  <c r="H92" i="1" s="1"/>
  <c r="E78" i="1"/>
  <c r="H78" i="1" s="1"/>
  <c r="I78" i="1" s="1"/>
  <c r="I79" i="1" s="1"/>
  <c r="I80" i="1" s="1"/>
  <c r="E83" i="1"/>
  <c r="H83" i="1" s="1"/>
  <c r="E87" i="1"/>
  <c r="H87" i="1" s="1"/>
  <c r="E81" i="1"/>
  <c r="H81" i="1" s="1"/>
  <c r="E85" i="1"/>
  <c r="H85" i="1" s="1"/>
  <c r="H72" i="1"/>
  <c r="E66" i="1"/>
  <c r="H66" i="1" s="1"/>
  <c r="E69" i="1"/>
  <c r="H69" i="1" s="1"/>
  <c r="E67" i="1"/>
  <c r="H67" i="1" s="1"/>
  <c r="H65" i="1"/>
  <c r="H44" i="1"/>
  <c r="H31" i="1"/>
  <c r="E5" i="1"/>
  <c r="H5" i="1" s="1"/>
  <c r="H43" i="1"/>
  <c r="H19" i="1"/>
  <c r="H55" i="1"/>
  <c r="E4" i="1"/>
  <c r="H4" i="1" s="1"/>
  <c r="H60" i="1"/>
  <c r="H68" i="1"/>
  <c r="H20" i="1"/>
  <c r="E6" i="1"/>
  <c r="H6" i="1" s="1"/>
  <c r="H34" i="1"/>
  <c r="H22" i="1"/>
  <c r="H70" i="1"/>
  <c r="H24" i="1"/>
  <c r="H36" i="1"/>
  <c r="E10" i="1"/>
  <c r="H10" i="1" s="1"/>
  <c r="H48" i="1"/>
  <c r="H42" i="1"/>
  <c r="H32" i="1"/>
  <c r="H54" i="1"/>
  <c r="H18" i="1"/>
  <c r="H28" i="1"/>
  <c r="H16" i="1"/>
  <c r="H30" i="1" s="1"/>
  <c r="H2" i="1"/>
  <c r="H64" i="1"/>
  <c r="H52" i="1"/>
  <c r="J51" i="1" s="1"/>
  <c r="H40" i="1"/>
  <c r="Q214" i="1" l="1"/>
  <c r="R214" i="1" s="1"/>
  <c r="E214" i="1" s="1"/>
  <c r="H214" i="1" s="1"/>
  <c r="Q202" i="1"/>
  <c r="R202" i="1" s="1"/>
  <c r="E202" i="1" s="1"/>
  <c r="H202" i="1" s="1"/>
  <c r="Q213" i="1"/>
  <c r="R213" i="1" s="1"/>
  <c r="E213" i="1" s="1"/>
  <c r="H213" i="1" s="1"/>
  <c r="Q201" i="1"/>
  <c r="R201" i="1" s="1"/>
  <c r="E201" i="1" s="1"/>
  <c r="H201" i="1" s="1"/>
  <c r="Q212" i="1"/>
  <c r="R212" i="1" s="1"/>
  <c r="E212" i="1" s="1"/>
  <c r="H212" i="1" s="1"/>
  <c r="Q200" i="1"/>
  <c r="R200" i="1" s="1"/>
  <c r="E200" i="1" s="1"/>
  <c r="H200" i="1" s="1"/>
  <c r="Q191" i="1"/>
  <c r="R191" i="1" s="1"/>
  <c r="E191" i="1" s="1"/>
  <c r="H191" i="1" s="1"/>
  <c r="J187" i="1" s="1"/>
  <c r="I187" i="1"/>
  <c r="I188" i="1" s="1"/>
  <c r="I189" i="1" s="1"/>
  <c r="I190" i="1" s="1"/>
  <c r="J151" i="1"/>
  <c r="Q199" i="1"/>
  <c r="R199" i="1" s="1"/>
  <c r="E199" i="1" s="1"/>
  <c r="H199" i="1" s="1"/>
  <c r="Q211" i="1"/>
  <c r="R211" i="1" s="1"/>
  <c r="E211" i="1" s="1"/>
  <c r="H211" i="1" s="1"/>
  <c r="J163" i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53" i="1"/>
  <c r="I154" i="1" s="1"/>
  <c r="I155" i="1" s="1"/>
  <c r="I156" i="1" s="1"/>
  <c r="I157" i="1" s="1"/>
  <c r="I158" i="1" s="1"/>
  <c r="I159" i="1" s="1"/>
  <c r="I160" i="1" s="1"/>
  <c r="I126" i="1"/>
  <c r="I127" i="1" s="1"/>
  <c r="I128" i="1" s="1"/>
  <c r="I129" i="1" s="1"/>
  <c r="I130" i="1" s="1"/>
  <c r="I131" i="1" s="1"/>
  <c r="I132" i="1" s="1"/>
  <c r="I133" i="1" s="1"/>
  <c r="I134" i="1" s="1"/>
  <c r="I135" i="1" s="1"/>
  <c r="J126" i="1"/>
  <c r="I91" i="1"/>
  <c r="I92" i="1"/>
  <c r="I93" i="1" s="1"/>
  <c r="I94" i="1" s="1"/>
  <c r="I95" i="1" s="1"/>
  <c r="I96" i="1" s="1"/>
  <c r="I97" i="1" s="1"/>
  <c r="I98" i="1" s="1"/>
  <c r="I99" i="1" s="1"/>
  <c r="J78" i="1"/>
  <c r="I81" i="1"/>
  <c r="I82" i="1" s="1"/>
  <c r="I83" i="1" s="1"/>
  <c r="I84" i="1" s="1"/>
  <c r="I85" i="1" s="1"/>
  <c r="I86" i="1" s="1"/>
  <c r="I87" i="1" s="1"/>
  <c r="I52" i="1"/>
  <c r="I53" i="1" s="1"/>
  <c r="I54" i="1" s="1"/>
  <c r="I55" i="1" s="1"/>
  <c r="I56" i="1" s="1"/>
  <c r="I57" i="1" s="1"/>
  <c r="I58" i="1" s="1"/>
  <c r="I59" i="1" s="1"/>
  <c r="I60" i="1" s="1"/>
  <c r="I61" i="1" s="1"/>
  <c r="I64" i="1"/>
  <c r="I65" i="1" s="1"/>
  <c r="I66" i="1" s="1"/>
  <c r="I67" i="1" s="1"/>
  <c r="I68" i="1" s="1"/>
  <c r="I69" i="1" s="1"/>
  <c r="I70" i="1" s="1"/>
  <c r="I71" i="1" s="1"/>
  <c r="I72" i="1" s="1"/>
  <c r="I73" i="1" s="1"/>
  <c r="J63" i="1"/>
  <c r="J39" i="1"/>
  <c r="I40" i="1"/>
  <c r="I41" i="1" s="1"/>
  <c r="I42" i="1" s="1"/>
  <c r="I43" i="1" s="1"/>
  <c r="I44" i="1" s="1"/>
  <c r="I45" i="1" s="1"/>
  <c r="I46" i="1" s="1"/>
  <c r="I47" i="1" s="1"/>
  <c r="I48" i="1" s="1"/>
  <c r="I49" i="1" s="1"/>
  <c r="J27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J15" i="1"/>
  <c r="I2" i="1"/>
  <c r="I3" i="1" s="1"/>
  <c r="I4" i="1" s="1"/>
  <c r="I5" i="1" s="1"/>
  <c r="I6" i="1" s="1"/>
  <c r="I7" i="1" s="1"/>
  <c r="I8" i="1" s="1"/>
  <c r="I9" i="1" s="1"/>
  <c r="I10" i="1" s="1"/>
  <c r="I11" i="1" s="1"/>
  <c r="J2" i="1"/>
  <c r="I191" i="1" l="1"/>
  <c r="I192" i="1" s="1"/>
  <c r="I193" i="1" s="1"/>
  <c r="I194" i="1" s="1"/>
  <c r="I195" i="1" s="1"/>
  <c r="I196" i="1" s="1"/>
  <c r="Q215" i="1"/>
  <c r="R215" i="1" s="1"/>
  <c r="E215" i="1" s="1"/>
  <c r="H215" i="1" s="1"/>
  <c r="Q203" i="1"/>
  <c r="R203" i="1" s="1"/>
  <c r="E203" i="1" s="1"/>
  <c r="H203" i="1" s="1"/>
  <c r="J211" i="1"/>
  <c r="I211" i="1"/>
  <c r="I212" i="1" s="1"/>
  <c r="I213" i="1" s="1"/>
  <c r="I214" i="1" s="1"/>
  <c r="J199" i="1"/>
  <c r="I199" i="1"/>
  <c r="I200" i="1" s="1"/>
  <c r="I201" i="1" s="1"/>
  <c r="I202" i="1" s="1"/>
  <c r="I203" i="1" s="1"/>
  <c r="I204" i="1" s="1"/>
  <c r="I205" i="1" s="1"/>
  <c r="I206" i="1" s="1"/>
  <c r="I207" i="1" s="1"/>
  <c r="I208" i="1" s="1"/>
  <c r="I215" i="1" l="1"/>
  <c r="I216" i="1" s="1"/>
  <c r="I217" i="1" s="1"/>
  <c r="I218" i="1" s="1"/>
  <c r="I219" i="1" s="1"/>
  <c r="I220" i="1" s="1"/>
</calcChain>
</file>

<file path=xl/sharedStrings.xml><?xml version="1.0" encoding="utf-8"?>
<sst xmlns="http://schemas.openxmlformats.org/spreadsheetml/2006/main" count="444" uniqueCount="128">
  <si>
    <t>年份</t>
  </si>
  <si>
    <t>年份</t>
    <phoneticPr fontId="1" type="noConversion"/>
  </si>
  <si>
    <t>地面系统改造</t>
  </si>
  <si>
    <t>措施成本</t>
  </si>
  <si>
    <t>措施成本</t>
    <phoneticPr fontId="1" type="noConversion"/>
  </si>
  <si>
    <t>操作成本</t>
  </si>
  <si>
    <t>操作成本</t>
    <phoneticPr fontId="1" type="noConversion"/>
  </si>
  <si>
    <t>基准收益率</t>
  </si>
  <si>
    <t>基准收益率</t>
    <phoneticPr fontId="1" type="noConversion"/>
  </si>
  <si>
    <t>1
原油产量及其他指标预测</t>
  </si>
  <si>
    <t>非措施方案</t>
  </si>
  <si>
    <t>产油量/t</t>
  </si>
  <si>
    <t>产液量/t</t>
  </si>
  <si>
    <t>注水量/t</t>
  </si>
  <si>
    <t>l</t>
  </si>
  <si>
    <t>合计</t>
  </si>
  <si>
    <t>2
原油产量及其他指标预测</t>
  </si>
  <si>
    <t>措施调整方案</t>
  </si>
  <si>
    <t>3
各类措施工作量表</t>
  </si>
  <si>
    <t>措施工作量</t>
  </si>
  <si>
    <t>油井压裂</t>
  </si>
  <si>
    <t>油水井重复射孔</t>
  </si>
  <si>
    <t>油井重新完井</t>
  </si>
  <si>
    <t>油井补孔</t>
  </si>
  <si>
    <t>油井转注</t>
  </si>
  <si>
    <t>水井转采</t>
  </si>
  <si>
    <t>机械堵水</t>
  </si>
  <si>
    <t>PLT测试</t>
  </si>
  <si>
    <t>4
各类措施作业单价</t>
  </si>
  <si>
    <t>措施种类</t>
  </si>
  <si>
    <t>单位</t>
  </si>
  <si>
    <t>单价</t>
  </si>
  <si>
    <t>压裂</t>
  </si>
  <si>
    <t>元/井.次</t>
  </si>
  <si>
    <t>重复射孔</t>
  </si>
  <si>
    <t>元/井.段</t>
  </si>
  <si>
    <t>元/口</t>
  </si>
  <si>
    <t>注水井转采油</t>
  </si>
  <si>
    <t>油井机械堵水</t>
  </si>
  <si>
    <t>名称及规格</t>
  </si>
  <si>
    <t>数量</t>
  </si>
  <si>
    <t>投资估算（元）</t>
  </si>
  <si>
    <t>MB-CPF 站内流程调整</t>
  </si>
  <si>
    <t>项</t>
  </si>
  <si>
    <t>MS-1 站内流程调整</t>
  </si>
  <si>
    <t>装车流程恢复</t>
  </si>
  <si>
    <t>外输管道清扫</t>
  </si>
  <si>
    <t>成本要素</t>
  </si>
  <si>
    <t>备注</t>
  </si>
  <si>
    <t>材料费</t>
  </si>
  <si>
    <t>元/吨油</t>
  </si>
  <si>
    <t>电力费</t>
  </si>
  <si>
    <t>元/吨液</t>
  </si>
  <si>
    <t>注水费</t>
  </si>
  <si>
    <t>元/吨水</t>
  </si>
  <si>
    <t>人员费用</t>
  </si>
  <si>
    <t>元/人年</t>
  </si>
  <si>
    <t>维修费</t>
  </si>
  <si>
    <t>元/井年</t>
  </si>
  <si>
    <t>按油水井5%计算维修量</t>
  </si>
  <si>
    <t>定员</t>
  </si>
  <si>
    <t>人</t>
  </si>
  <si>
    <t>油田生产管理费</t>
  </si>
  <si>
    <t>按人员费15%计算</t>
  </si>
  <si>
    <t>措施调整后变化值</t>
    <phoneticPr fontId="1" type="noConversion"/>
  </si>
  <si>
    <t>井数</t>
    <phoneticPr fontId="1" type="noConversion"/>
  </si>
  <si>
    <t>口</t>
    <phoneticPr fontId="1" type="noConversion"/>
  </si>
  <si>
    <t>油价</t>
    <phoneticPr fontId="1" type="noConversion"/>
  </si>
  <si>
    <t>美元</t>
    <phoneticPr fontId="1" type="noConversion"/>
  </si>
  <si>
    <t>汇率</t>
    <phoneticPr fontId="1" type="noConversion"/>
  </si>
  <si>
    <t>油价-税金</t>
    <phoneticPr fontId="1" type="noConversion"/>
  </si>
  <si>
    <t>税金</t>
  </si>
  <si>
    <t>税金</t>
    <phoneticPr fontId="1" type="noConversion"/>
  </si>
  <si>
    <t>销项税</t>
  </si>
  <si>
    <t>销项税</t>
    <phoneticPr fontId="1" type="noConversion"/>
  </si>
  <si>
    <t>增值税</t>
  </si>
  <si>
    <t>增值税</t>
    <phoneticPr fontId="1" type="noConversion"/>
  </si>
  <si>
    <t>资源税</t>
  </si>
  <si>
    <t>资源税</t>
    <phoneticPr fontId="1" type="noConversion"/>
  </si>
  <si>
    <t>城建与教育附加</t>
    <phoneticPr fontId="1" type="noConversion"/>
  </si>
  <si>
    <t>增产价值</t>
    <phoneticPr fontId="1" type="noConversion"/>
  </si>
  <si>
    <t>吨桶比</t>
    <phoneticPr fontId="1" type="noConversion"/>
  </si>
  <si>
    <t>进项税(投资进项税，成本进项税，)</t>
    <phoneticPr fontId="1" type="noConversion"/>
  </si>
  <si>
    <t>销售油价（元/吨）</t>
  </si>
  <si>
    <t>销售收入</t>
  </si>
  <si>
    <t>新增投资</t>
  </si>
  <si>
    <t>投资进项税</t>
  </si>
  <si>
    <t>新增措施费</t>
  </si>
  <si>
    <t>增量操作费</t>
  </si>
  <si>
    <t>成本进项税</t>
  </si>
  <si>
    <t>计算增值税（进项税=投资+成本）</t>
  </si>
  <si>
    <t>新增税金（资源税）</t>
  </si>
  <si>
    <t>现金流量</t>
  </si>
  <si>
    <r>
      <t>年度增量</t>
    </r>
    <r>
      <rPr>
        <sz val="9"/>
        <color indexed="8"/>
        <rFont val="Calibri"/>
        <family val="2"/>
      </rPr>
      <t xml:space="preserve">NPV </t>
    </r>
  </si>
  <si>
    <t>内部收益率</t>
  </si>
  <si>
    <t>地面系统改造成本</t>
  </si>
  <si>
    <t>地面系统改造成本</t>
    <phoneticPr fontId="1" type="noConversion"/>
  </si>
  <si>
    <t>销售收入</t>
    <phoneticPr fontId="1" type="noConversion"/>
  </si>
  <si>
    <t>现金流量</t>
    <phoneticPr fontId="1" type="noConversion"/>
  </si>
  <si>
    <t>增量NPV</t>
  </si>
  <si>
    <t>增量NPV</t>
    <phoneticPr fontId="1" type="noConversion"/>
  </si>
  <si>
    <t>内部收益率</t>
    <phoneticPr fontId="1" type="noConversion"/>
  </si>
  <si>
    <t>税率表</t>
    <phoneticPr fontId="1" type="noConversion"/>
  </si>
  <si>
    <t>教育附加</t>
  </si>
  <si>
    <t>教育附加</t>
    <phoneticPr fontId="1" type="noConversion"/>
  </si>
  <si>
    <t>投资进项税</t>
    <phoneticPr fontId="1" type="noConversion"/>
  </si>
  <si>
    <t>措施进项税</t>
  </si>
  <si>
    <t>措施进项税</t>
    <phoneticPr fontId="1" type="noConversion"/>
  </si>
  <si>
    <t>成本进项税</t>
    <phoneticPr fontId="1" type="noConversion"/>
  </si>
  <si>
    <t>改造后</t>
  </si>
  <si>
    <t>改造后</t>
    <phoneticPr fontId="1" type="noConversion"/>
  </si>
  <si>
    <t>增油量90%</t>
    <phoneticPr fontId="1" type="noConversion"/>
  </si>
  <si>
    <t>增油量80%</t>
    <phoneticPr fontId="1" type="noConversion"/>
  </si>
  <si>
    <t>增油量70%</t>
    <phoneticPr fontId="1" type="noConversion"/>
  </si>
  <si>
    <t>增油量60%</t>
    <phoneticPr fontId="1" type="noConversion"/>
  </si>
  <si>
    <t>增油量50%</t>
    <phoneticPr fontId="1" type="noConversion"/>
  </si>
  <si>
    <t>措施成本100%</t>
    <phoneticPr fontId="1" type="noConversion"/>
  </si>
  <si>
    <t>措施成本110%</t>
    <phoneticPr fontId="1" type="noConversion"/>
  </si>
  <si>
    <t>措施成本120%</t>
    <phoneticPr fontId="1" type="noConversion"/>
  </si>
  <si>
    <t>措施成本130%</t>
    <phoneticPr fontId="1" type="noConversion"/>
  </si>
  <si>
    <t>措施成本140%</t>
    <phoneticPr fontId="1" type="noConversion"/>
  </si>
  <si>
    <t>措施成本150%</t>
    <phoneticPr fontId="1" type="noConversion"/>
  </si>
  <si>
    <t>操作成本100%</t>
    <phoneticPr fontId="1" type="noConversion"/>
  </si>
  <si>
    <t>操作成本110%</t>
    <phoneticPr fontId="1" type="noConversion"/>
  </si>
  <si>
    <t>操作成本120%</t>
    <phoneticPr fontId="1" type="noConversion"/>
  </si>
  <si>
    <t>操作成本130%</t>
    <phoneticPr fontId="1" type="noConversion"/>
  </si>
  <si>
    <t>操作成本140%</t>
    <phoneticPr fontId="1" type="noConversion"/>
  </si>
  <si>
    <t>操作成本150%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</si>
</sst>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6"/>
      <color indexed="8"/>
      <name val="宋体"/>
      <family val="3"/>
      <charset val="134"/>
    </font>
    <font>
      <sz val="6"/>
      <color theme="1"/>
      <name val="宋体"/>
      <family val="3"/>
      <charset val="134"/>
      <scheme val="minor"/>
    </font>
    <font>
      <b/>
      <sz val="6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6" fillId="0" borderId="0" xfId="0" applyFo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0" borderId="0" xfId="0" applyFont="1">
      <alignment vertical="center"/>
    </xf>
    <xf numFmtId="0" fontId="8" fillId="0" borderId="1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7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7" fillId="6" borderId="1" xfId="0" applyNumberFormat="1" applyFont="1" applyFill="1" applyBorder="1" applyAlignment="1" applyProtection="1">
      <alignment horizontal="center" vertical="center" wrapText="1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5" fillId="6" borderId="0" xfId="0" applyFont="1" applyFill="1">
      <alignment vertical="center"/>
    </xf>
    <xf numFmtId="176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vertical="center" wrapText="1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8" fillId="0" borderId="3" xfId="0" applyNumberFormat="1" applyFont="1" applyFill="1" applyBorder="1" applyAlignment="1" applyProtection="1">
      <alignment horizontal="left" vertical="center" wrapText="1"/>
    </xf>
    <xf numFmtId="0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6" xfId="0" applyNumberFormat="1" applyFont="1" applyFill="1" applyBorder="1" applyAlignment="1" applyProtection="1">
      <alignment horizontal="left" vertical="center" wrapText="1"/>
    </xf>
    <xf numFmtId="0" fontId="8" fillId="0" borderId="5" xfId="0" applyNumberFormat="1" applyFont="1" applyFill="1" applyBorder="1" applyAlignment="1" applyProtection="1">
      <alignment horizontal="left" vertical="center" wrapText="1"/>
    </xf>
    <xf numFmtId="0" fontId="4" fillId="0" borderId="4" xfId="0" applyNumberFormat="1" applyFont="1" applyFill="1" applyBorder="1" applyAlignment="1" applyProtection="1">
      <alignment vertical="center" wrapText="1"/>
    </xf>
    <xf numFmtId="0" fontId="4" fillId="0" borderId="6" xfId="0" applyNumberFormat="1" applyFont="1" applyFill="1" applyBorder="1" applyAlignment="1" applyProtection="1">
      <alignment vertical="center" wrapText="1"/>
    </xf>
    <xf numFmtId="0" fontId="4" fillId="0" borderId="5" xfId="0" applyNumberFormat="1" applyFont="1" applyFill="1" applyBorder="1" applyAlignment="1" applyProtection="1">
      <alignment vertical="center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4" fillId="0" borderId="4" xfId="0" applyNumberFormat="1" applyFont="1" applyFill="1" applyBorder="1" applyAlignment="1" applyProtection="1">
      <alignment horizontal="left" vertical="center" wrapText="1"/>
    </xf>
    <xf numFmtId="0" fontId="4" fillId="0" borderId="6" xfId="0" applyNumberFormat="1" applyFont="1" applyFill="1" applyBorder="1" applyAlignment="1" applyProtection="1">
      <alignment horizontal="left" vertical="center" wrapText="1"/>
    </xf>
    <xf numFmtId="0" fontId="4" fillId="0" borderId="5" xfId="0" applyNumberFormat="1" applyFont="1" applyFill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0"/>
  <sheetViews>
    <sheetView workbookViewId="0">
      <selection activeCell="I11" sqref="I11"/>
    </sheetView>
  </sheetViews>
  <sheetFormatPr defaultRowHeight="13.5" x14ac:dyDescent="0.15"/>
  <cols>
    <col min="1" max="1" width="9.125" style="20" bestFit="1" customWidth="1"/>
    <col min="2" max="2" width="16.25" style="20" customWidth="1"/>
    <col min="3" max="3" width="10.5" style="20" customWidth="1"/>
    <col min="4" max="4" width="11.25" style="20" customWidth="1"/>
    <col min="5" max="6" width="10.875" style="20" customWidth="1"/>
    <col min="7" max="7" width="10.375" style="20" customWidth="1"/>
    <col min="8" max="9" width="11.75" style="20" bestFit="1" customWidth="1"/>
    <col min="10" max="10" width="10.875" style="20" customWidth="1"/>
    <col min="11" max="11" width="9.125" style="20" bestFit="1" customWidth="1"/>
    <col min="12" max="12" width="9" style="20"/>
    <col min="13" max="13" width="9.125" style="20" bestFit="1" customWidth="1"/>
    <col min="14" max="14" width="9.5" style="20" bestFit="1" customWidth="1"/>
    <col min="15" max="15" width="9.125" style="20" bestFit="1" customWidth="1"/>
    <col min="16" max="16" width="9.5" style="20" bestFit="1" customWidth="1"/>
    <col min="17" max="19" width="9.125" style="20" bestFit="1" customWidth="1"/>
    <col min="20" max="20" width="9.5" style="20" bestFit="1" customWidth="1"/>
    <col min="21" max="16384" width="9" style="20"/>
  </cols>
  <sheetData>
    <row r="1" spans="1:20" x14ac:dyDescent="0.15">
      <c r="A1" s="20" t="s">
        <v>1</v>
      </c>
      <c r="B1" s="20" t="s">
        <v>96</v>
      </c>
      <c r="C1" s="20" t="s">
        <v>4</v>
      </c>
      <c r="D1" s="20" t="s">
        <v>6</v>
      </c>
      <c r="E1" s="20" t="s">
        <v>72</v>
      </c>
      <c r="F1" s="20" t="s">
        <v>97</v>
      </c>
      <c r="G1" s="20" t="s">
        <v>8</v>
      </c>
      <c r="H1" s="20" t="s">
        <v>98</v>
      </c>
      <c r="I1" s="20" t="s">
        <v>100</v>
      </c>
      <c r="J1" s="20" t="s">
        <v>101</v>
      </c>
      <c r="K1" s="20" t="s">
        <v>110</v>
      </c>
      <c r="N1" s="20" t="s">
        <v>74</v>
      </c>
      <c r="O1" s="20" t="s">
        <v>105</v>
      </c>
      <c r="P1" s="20" t="s">
        <v>107</v>
      </c>
      <c r="Q1" s="20" t="s">
        <v>108</v>
      </c>
      <c r="R1" s="20" t="s">
        <v>76</v>
      </c>
      <c r="S1" s="20" t="s">
        <v>78</v>
      </c>
      <c r="T1" s="20" t="s">
        <v>104</v>
      </c>
    </row>
    <row r="2" spans="1:20" x14ac:dyDescent="0.15">
      <c r="A2" s="20">
        <v>2021</v>
      </c>
      <c r="B2" s="20">
        <v>1820000</v>
      </c>
      <c r="C2" s="20">
        <f>部分计算!L4*部分计算!$W$3+部分计算!M4*部分计算!$W$4+部分计算!N4*部分计算!$W$7+部分计算!O4*部分计算!$W$5+部分计算!P4*部分计算!$W$6+部分计算!Q4*部分计算!$W$8+部分计算!R4*部分计算!$W$9+部分计算!S4*部分计算!$W$10</f>
        <v>1293400</v>
      </c>
      <c r="D2" s="20">
        <f>部分计算!$H$17*部分计算!L16+部分计算!$H$18*部分计算!M16+部分计算!$H$19*部分计算!N16</f>
        <v>37247.400000000052</v>
      </c>
      <c r="E2" s="20">
        <f t="shared" ref="E2:E11" si="0">R2+S2+T2</f>
        <v>44636.413594500074</v>
      </c>
      <c r="F2" s="20">
        <f>部分计算!$Q$14*部分计算!$T$14*部分计算!$V$14*部分计算!L16</f>
        <v>247980.0755250004</v>
      </c>
      <c r="G2" s="20">
        <v>0.12</v>
      </c>
      <c r="H2" s="20">
        <f>F2-E2-D2-C2-B2</f>
        <v>-2947303.7380694998</v>
      </c>
      <c r="I2" s="20">
        <f>H2</f>
        <v>-2947303.7380694998</v>
      </c>
      <c r="J2" s="22">
        <f>IRR(H2:H11)</f>
        <v>0.47402894970021503</v>
      </c>
      <c r="K2" s="20">
        <v>1</v>
      </c>
      <c r="M2" s="20">
        <v>2021</v>
      </c>
      <c r="N2" s="20">
        <f>F2*0.13</f>
        <v>32237.409818250053</v>
      </c>
      <c r="O2" s="20">
        <f t="shared" ref="O2:O11" si="1">B2*0.13</f>
        <v>236600</v>
      </c>
      <c r="P2" s="20">
        <f t="shared" ref="P2:P11" si="2">C2*0.13*0.8</f>
        <v>134513.60000000001</v>
      </c>
      <c r="Q2" s="20">
        <f t="shared" ref="Q2:Q11" si="3">D2*0.13*0.5</f>
        <v>2421.0810000000033</v>
      </c>
      <c r="R2" s="20">
        <f>IF(N2-O2-P2-Q2&gt;0,N2-O2-P2-Q2,0)</f>
        <v>0</v>
      </c>
      <c r="S2" s="20">
        <f>措施后变化!F2*0.06</f>
        <v>14878.804531500024</v>
      </c>
      <c r="T2" s="20">
        <f t="shared" ref="T2:T11" si="4">F2*0.12</f>
        <v>29757.609063000047</v>
      </c>
    </row>
    <row r="3" spans="1:20" x14ac:dyDescent="0.15">
      <c r="A3" s="20">
        <v>2022</v>
      </c>
      <c r="B3" s="20">
        <v>0</v>
      </c>
      <c r="C3" s="20">
        <f>部分计算!L5*部分计算!$W$3+部分计算!M5*部分计算!$W$4+部分计算!N5*部分计算!$W$7+部分计算!O5*部分计算!$W$5+部分计算!P5*部分计算!$W$6+部分计算!Q5*部分计算!$W$8+部分计算!R5*部分计算!$W$9+部分计算!S5*部分计算!$W$10</f>
        <v>3723525</v>
      </c>
      <c r="D3" s="20">
        <f>部分计算!$H$17*部分计算!L17+部分计算!$H$18*部分计算!M17+部分计算!$H$19*部分计算!N17</f>
        <v>306445.80000000005</v>
      </c>
      <c r="E3" s="20">
        <f t="shared" si="0"/>
        <v>776522.35009829979</v>
      </c>
      <c r="F3" s="20">
        <f>部分计算!$Q$14*部分计算!$T$14*部分计算!$V$14*部分计算!L17</f>
        <v>3818348.1519299992</v>
      </c>
      <c r="G3" s="20">
        <v>0.12</v>
      </c>
      <c r="H3" s="20">
        <f t="shared" ref="H3:H11" si="5">F3-E3-D3-C3-B3</f>
        <v>-988144.99816830084</v>
      </c>
      <c r="I3" s="20">
        <f>I2+H3</f>
        <v>-3935448.7362378007</v>
      </c>
      <c r="J3" s="22"/>
      <c r="M3" s="20">
        <v>2022</v>
      </c>
      <c r="N3" s="20">
        <f t="shared" ref="N3:N11" si="6">F3*0.13</f>
        <v>496385.25975089992</v>
      </c>
      <c r="O3" s="20">
        <f t="shared" si="1"/>
        <v>0</v>
      </c>
      <c r="P3" s="20">
        <f t="shared" si="2"/>
        <v>387246.60000000003</v>
      </c>
      <c r="Q3" s="20">
        <f t="shared" si="3"/>
        <v>19918.977000000003</v>
      </c>
      <c r="R3" s="20">
        <f t="shared" ref="R3:R11" si="7">IF(N3-O3-P3-Q3&gt;0,N3-O3-P3-Q3,0)</f>
        <v>89219.682750899883</v>
      </c>
      <c r="S3" s="20">
        <f>措施后变化!F3*0.06</f>
        <v>229100.88911579995</v>
      </c>
      <c r="T3" s="20">
        <f t="shared" si="4"/>
        <v>458201.77823159989</v>
      </c>
    </row>
    <row r="4" spans="1:20" x14ac:dyDescent="0.15">
      <c r="A4" s="20">
        <v>2023</v>
      </c>
      <c r="B4" s="20">
        <v>0</v>
      </c>
      <c r="C4" s="20">
        <f>部分计算!L6*部分计算!$W$3+部分计算!M6*部分计算!$W$4+部分计算!N6*部分计算!$W$7+部分计算!O6*部分计算!$W$5+部分计算!P6*部分计算!$W$6+部分计算!Q6*部分计算!$W$8+部分计算!R6*部分计算!$W$9+部分计算!S6*部分计算!$W$10</f>
        <v>2112101</v>
      </c>
      <c r="D4" s="20">
        <f>部分计算!$H$17*部分计算!L18+部分计算!$H$18*部分计算!M18+部分计算!$H$19*部分计算!N18</f>
        <v>426277.19999999995</v>
      </c>
      <c r="E4" s="20">
        <f t="shared" si="0"/>
        <v>1105196.8846291997</v>
      </c>
      <c r="F4" s="20">
        <f>部分计算!$Q$14*部分计算!$T$14*部分计算!$V$14*部分计算!L18</f>
        <v>4363107.763319999</v>
      </c>
      <c r="G4" s="20">
        <v>0.12</v>
      </c>
      <c r="H4" s="20">
        <f t="shared" si="5"/>
        <v>719532.67869079951</v>
      </c>
      <c r="I4" s="20">
        <f>I3+H4</f>
        <v>-3215916.0575470012</v>
      </c>
      <c r="J4" s="22"/>
      <c r="M4" s="20">
        <v>2023</v>
      </c>
      <c r="N4" s="20">
        <f t="shared" si="6"/>
        <v>567204.00923159986</v>
      </c>
      <c r="O4" s="20">
        <f t="shared" si="1"/>
        <v>0</v>
      </c>
      <c r="P4" s="20">
        <f t="shared" si="2"/>
        <v>219658.50400000002</v>
      </c>
      <c r="Q4" s="20">
        <f t="shared" si="3"/>
        <v>27708.017999999996</v>
      </c>
      <c r="R4" s="20">
        <f t="shared" si="7"/>
        <v>319837.48723159987</v>
      </c>
      <c r="S4" s="20">
        <f>措施后变化!F4*0.06</f>
        <v>261786.46579919994</v>
      </c>
      <c r="T4" s="20">
        <f t="shared" si="4"/>
        <v>523572.93159839988</v>
      </c>
    </row>
    <row r="5" spans="1:20" x14ac:dyDescent="0.15">
      <c r="A5" s="20">
        <v>2024</v>
      </c>
      <c r="B5" s="20">
        <v>0</v>
      </c>
      <c r="C5" s="20">
        <f>部分计算!L7*部分计算!$W$3+部分计算!M7*部分计算!$W$4+部分计算!N7*部分计算!$W$7+部分计算!O7*部分计算!$W$5+部分计算!P7*部分计算!$W$6+部分计算!Q7*部分计算!$W$8+部分计算!R7*部分计算!$W$9+部分计算!S7*部分计算!$W$10</f>
        <v>1875181</v>
      </c>
      <c r="D5" s="20">
        <f>部分计算!$H$17*部分计算!L19+部分计算!$H$18*部分计算!M19+部分计算!$H$19*部分计算!N19</f>
        <v>721911.2</v>
      </c>
      <c r="E5" s="20">
        <f t="shared" si="0"/>
        <v>2427313.6424723999</v>
      </c>
      <c r="F5" s="20">
        <f>部分计算!$Q$14*部分计算!$T$14*部分计算!$V$14*部分计算!L19</f>
        <v>8610505.4660400003</v>
      </c>
      <c r="G5" s="20">
        <v>0.12</v>
      </c>
      <c r="H5" s="20">
        <f t="shared" si="5"/>
        <v>3586099.6235676007</v>
      </c>
      <c r="I5" s="20">
        <f t="shared" ref="I5:I11" si="8">I4+H5</f>
        <v>370183.56602059957</v>
      </c>
      <c r="J5" s="22"/>
      <c r="M5" s="20">
        <v>2024</v>
      </c>
      <c r="N5" s="20">
        <f t="shared" si="6"/>
        <v>1119365.7105852</v>
      </c>
      <c r="O5" s="20">
        <f t="shared" si="1"/>
        <v>0</v>
      </c>
      <c r="P5" s="20">
        <f t="shared" si="2"/>
        <v>195018.82400000002</v>
      </c>
      <c r="Q5" s="20">
        <f t="shared" si="3"/>
        <v>46924.227999999996</v>
      </c>
      <c r="R5" s="20">
        <f t="shared" si="7"/>
        <v>877422.65858519997</v>
      </c>
      <c r="S5" s="20">
        <f>措施后变化!F5*0.06</f>
        <v>516630.32796239998</v>
      </c>
      <c r="T5" s="20">
        <f t="shared" si="4"/>
        <v>1033260.6559248</v>
      </c>
    </row>
    <row r="6" spans="1:20" x14ac:dyDescent="0.15">
      <c r="A6" s="20">
        <v>2025</v>
      </c>
      <c r="B6" s="20">
        <v>0</v>
      </c>
      <c r="C6" s="20">
        <f>部分计算!L8*部分计算!$W$3+部分计算!M8*部分计算!$W$4+部分计算!N8*部分计算!$W$7+部分计算!O8*部分计算!$W$5+部分计算!P8*部分计算!$W$6+部分计算!Q8*部分计算!$W$8+部分计算!R8*部分计算!$W$9+部分计算!S8*部分计算!$W$10</f>
        <v>1106364</v>
      </c>
      <c r="D6" s="20">
        <f>部分计算!$H$17*部分计算!L20+部分计算!$H$18*部分计算!M20+部分计算!$H$19*部分计算!N20</f>
        <v>929850.10000000009</v>
      </c>
      <c r="E6" s="20">
        <f t="shared" si="0"/>
        <v>2481394.9866950507</v>
      </c>
      <c r="F6" s="20">
        <f>部分计算!$Q$14*部分计算!$T$14*部分计算!$V$14*部分计算!L20</f>
        <v>8570635.8038550019</v>
      </c>
      <c r="G6" s="20">
        <v>0.12</v>
      </c>
      <c r="H6" s="20">
        <f t="shared" si="5"/>
        <v>4053026.7171599511</v>
      </c>
      <c r="I6" s="20">
        <f t="shared" si="8"/>
        <v>4423210.2831805507</v>
      </c>
      <c r="J6" s="22"/>
      <c r="M6" s="20">
        <v>2025</v>
      </c>
      <c r="N6" s="20">
        <f t="shared" si="6"/>
        <v>1114182.6545011504</v>
      </c>
      <c r="O6" s="20">
        <f t="shared" si="1"/>
        <v>0</v>
      </c>
      <c r="P6" s="20">
        <f t="shared" si="2"/>
        <v>115061.85600000001</v>
      </c>
      <c r="Q6" s="20">
        <f t="shared" si="3"/>
        <v>60440.25650000001</v>
      </c>
      <c r="R6" s="20">
        <f t="shared" si="7"/>
        <v>938680.54200115032</v>
      </c>
      <c r="S6" s="20">
        <f>措施后变化!F6*0.06</f>
        <v>514238.14823130012</v>
      </c>
      <c r="T6" s="20">
        <f t="shared" si="4"/>
        <v>1028476.2964626002</v>
      </c>
    </row>
    <row r="7" spans="1:20" x14ac:dyDescent="0.15">
      <c r="A7" s="20">
        <v>2026</v>
      </c>
      <c r="B7" s="20">
        <v>0</v>
      </c>
      <c r="C7" s="20">
        <v>0</v>
      </c>
      <c r="D7" s="20">
        <f>部分计算!$H$17*部分计算!L21+部分计算!$H$18*部分计算!M21+部分计算!$H$19*部分计算!N21</f>
        <v>944531.4</v>
      </c>
      <c r="E7" s="20">
        <f t="shared" si="0"/>
        <v>2451970.0973716495</v>
      </c>
      <c r="F7" s="20">
        <f>部分计算!$Q$14*部分计算!$T$14*部分计算!$V$14*部分计算!L21</f>
        <v>8107627.865714998</v>
      </c>
      <c r="G7" s="20">
        <v>0.12</v>
      </c>
      <c r="H7" s="20">
        <f t="shared" si="5"/>
        <v>4711126.3683433477</v>
      </c>
      <c r="I7" s="20">
        <f t="shared" si="8"/>
        <v>9134336.6515238993</v>
      </c>
      <c r="J7" s="22"/>
      <c r="M7" s="20">
        <v>2026</v>
      </c>
      <c r="N7" s="20">
        <f t="shared" si="6"/>
        <v>1053991.6225429499</v>
      </c>
      <c r="O7" s="20">
        <f t="shared" si="1"/>
        <v>0</v>
      </c>
      <c r="P7" s="20">
        <f t="shared" si="2"/>
        <v>0</v>
      </c>
      <c r="Q7" s="20">
        <f t="shared" si="3"/>
        <v>61394.541000000005</v>
      </c>
      <c r="R7" s="20">
        <f t="shared" si="7"/>
        <v>992597.08154294989</v>
      </c>
      <c r="S7" s="20">
        <f>措施后变化!F7*0.06</f>
        <v>486457.67194289988</v>
      </c>
      <c r="T7" s="20">
        <f t="shared" si="4"/>
        <v>972915.34388579975</v>
      </c>
    </row>
    <row r="8" spans="1:20" x14ac:dyDescent="0.15">
      <c r="A8" s="20">
        <v>2027</v>
      </c>
      <c r="B8" s="20">
        <v>0</v>
      </c>
      <c r="C8" s="20">
        <v>0</v>
      </c>
      <c r="D8" s="20">
        <f>部分计算!$H$17*部分计算!L22+部分计算!$H$18*部分计算!M22+部分计算!$H$19*部分计算!N22</f>
        <v>847710.8</v>
      </c>
      <c r="E8" s="20">
        <f t="shared" si="0"/>
        <v>2003037.8382857004</v>
      </c>
      <c r="F8" s="20">
        <f>部分计算!$Q$14*部分计算!$T$14*部分计算!$V$14*部分计算!L22</f>
        <v>6639158.1944700014</v>
      </c>
      <c r="G8" s="20">
        <v>0.12</v>
      </c>
      <c r="H8" s="20">
        <f t="shared" si="5"/>
        <v>3788409.5561843012</v>
      </c>
      <c r="I8" s="20">
        <f t="shared" si="8"/>
        <v>12922746.2077082</v>
      </c>
      <c r="J8" s="22"/>
      <c r="M8" s="20">
        <v>2027</v>
      </c>
      <c r="N8" s="20">
        <f t="shared" si="6"/>
        <v>863090.56528110022</v>
      </c>
      <c r="O8" s="20">
        <f t="shared" si="1"/>
        <v>0</v>
      </c>
      <c r="P8" s="20">
        <f t="shared" si="2"/>
        <v>0</v>
      </c>
      <c r="Q8" s="20">
        <f t="shared" si="3"/>
        <v>55101.202000000005</v>
      </c>
      <c r="R8" s="20">
        <f t="shared" si="7"/>
        <v>807989.36328110017</v>
      </c>
      <c r="S8" s="20">
        <f>措施后变化!F8*0.06</f>
        <v>398349.49166820006</v>
      </c>
      <c r="T8" s="20">
        <f t="shared" si="4"/>
        <v>796698.98333640012</v>
      </c>
    </row>
    <row r="9" spans="1:20" x14ac:dyDescent="0.15">
      <c r="A9" s="20">
        <v>2028</v>
      </c>
      <c r="B9" s="20">
        <v>0</v>
      </c>
      <c r="C9" s="20">
        <v>0</v>
      </c>
      <c r="D9" s="20">
        <f>部分计算!$H$17*部分计算!L23+部分计算!$H$18*部分计算!M23+部分计算!$H$19*部分计算!N23</f>
        <v>704472.6</v>
      </c>
      <c r="E9" s="20">
        <f t="shared" si="0"/>
        <v>1381476.1089269998</v>
      </c>
      <c r="F9" s="20">
        <f>部分计算!$Q$14*部分计算!$T$14*部分计算!$V$14*部分计算!L23</f>
        <v>4604086.5416999999</v>
      </c>
      <c r="G9" s="20">
        <v>0.12</v>
      </c>
      <c r="H9" s="20">
        <f t="shared" si="5"/>
        <v>2518137.832773</v>
      </c>
      <c r="I9" s="20">
        <f t="shared" si="8"/>
        <v>15440884.0404812</v>
      </c>
      <c r="J9" s="22"/>
      <c r="M9" s="20">
        <v>2028</v>
      </c>
      <c r="N9" s="20">
        <f t="shared" si="6"/>
        <v>598531.25042100006</v>
      </c>
      <c r="O9" s="20">
        <f t="shared" si="1"/>
        <v>0</v>
      </c>
      <c r="P9" s="20">
        <f t="shared" si="2"/>
        <v>0</v>
      </c>
      <c r="Q9" s="20">
        <f t="shared" si="3"/>
        <v>45790.718999999997</v>
      </c>
      <c r="R9" s="20">
        <f t="shared" si="7"/>
        <v>552740.53142100002</v>
      </c>
      <c r="S9" s="20">
        <f>措施后变化!F9*0.06</f>
        <v>276245.19250199996</v>
      </c>
      <c r="T9" s="20">
        <f t="shared" si="4"/>
        <v>552490.38500399992</v>
      </c>
    </row>
    <row r="10" spans="1:20" x14ac:dyDescent="0.15">
      <c r="A10" s="20">
        <v>2029</v>
      </c>
      <c r="B10" s="20">
        <v>0</v>
      </c>
      <c r="C10" s="20">
        <v>0</v>
      </c>
      <c r="D10" s="20">
        <f>部分计算!$H$17*部分计算!L24+部分计算!$H$18*部分计算!M24+部分计算!$H$19*部分计算!N24</f>
        <v>587286.15</v>
      </c>
      <c r="E10" s="20">
        <f t="shared" si="0"/>
        <v>871842.21635692497</v>
      </c>
      <c r="F10" s="20">
        <f>部分计算!$Q$14*部分计算!$T$14*部分计算!$V$14*部分计算!L24</f>
        <v>2935534.8906675</v>
      </c>
      <c r="G10" s="20">
        <v>0.12</v>
      </c>
      <c r="H10" s="20">
        <f t="shared" si="5"/>
        <v>1476406.5243105749</v>
      </c>
      <c r="I10" s="20">
        <f t="shared" si="8"/>
        <v>16917290.564791776</v>
      </c>
      <c r="J10" s="22"/>
      <c r="M10" s="20">
        <v>2029</v>
      </c>
      <c r="N10" s="20">
        <f t="shared" si="6"/>
        <v>381619.535786775</v>
      </c>
      <c r="O10" s="20">
        <f t="shared" si="1"/>
        <v>0</v>
      </c>
      <c r="P10" s="20">
        <f t="shared" si="2"/>
        <v>0</v>
      </c>
      <c r="Q10" s="20">
        <f t="shared" si="3"/>
        <v>38173.599750000001</v>
      </c>
      <c r="R10" s="20">
        <f t="shared" si="7"/>
        <v>343445.93603677501</v>
      </c>
      <c r="S10" s="20">
        <f>措施后变化!F10*0.06</f>
        <v>176132.09344005</v>
      </c>
      <c r="T10" s="20">
        <f t="shared" si="4"/>
        <v>352264.18688009999</v>
      </c>
    </row>
    <row r="11" spans="1:20" x14ac:dyDescent="0.15">
      <c r="A11" s="20">
        <v>2030</v>
      </c>
      <c r="B11" s="20">
        <v>0</v>
      </c>
      <c r="C11" s="20">
        <v>0</v>
      </c>
      <c r="D11" s="20">
        <f>部分计算!$H$17*部分计算!L25+部分计算!$H$18*部分计算!M25+部分计算!$H$19*部分计算!N25</f>
        <v>550839.19999999995</v>
      </c>
      <c r="E11" s="20">
        <f t="shared" si="0"/>
        <v>625661.2366855999</v>
      </c>
      <c r="F11" s="20">
        <f>部分计算!$Q$14*部分计算!$T$14*部分计算!$V$14*部分计算!L25</f>
        <v>2133760.5957599995</v>
      </c>
      <c r="G11" s="20">
        <v>0.12</v>
      </c>
      <c r="H11" s="20">
        <f t="shared" si="5"/>
        <v>957260.15907439962</v>
      </c>
      <c r="I11" s="20">
        <f t="shared" si="8"/>
        <v>17874550.723866176</v>
      </c>
      <c r="J11" s="22"/>
      <c r="M11" s="20">
        <v>2030</v>
      </c>
      <c r="N11" s="20">
        <f t="shared" si="6"/>
        <v>277388.87744879996</v>
      </c>
      <c r="O11" s="20">
        <f t="shared" si="1"/>
        <v>0</v>
      </c>
      <c r="P11" s="20">
        <f t="shared" si="2"/>
        <v>0</v>
      </c>
      <c r="Q11" s="20">
        <f t="shared" si="3"/>
        <v>35804.547999999995</v>
      </c>
      <c r="R11" s="20">
        <f t="shared" si="7"/>
        <v>241584.32944879995</v>
      </c>
      <c r="S11" s="20">
        <f>措施后变化!F11*0.06</f>
        <v>128025.63574559997</v>
      </c>
      <c r="T11" s="20">
        <f t="shared" si="4"/>
        <v>256051.27149119994</v>
      </c>
    </row>
    <row r="15" spans="1:20" x14ac:dyDescent="0.15">
      <c r="A15" s="20" t="s">
        <v>0</v>
      </c>
      <c r="B15" s="20" t="s">
        <v>95</v>
      </c>
      <c r="C15" s="20" t="s">
        <v>3</v>
      </c>
      <c r="D15" s="20" t="s">
        <v>5</v>
      </c>
      <c r="E15" s="20" t="s">
        <v>71</v>
      </c>
      <c r="F15" s="20" t="s">
        <v>84</v>
      </c>
      <c r="G15" s="20" t="s">
        <v>7</v>
      </c>
      <c r="H15" s="20" t="s">
        <v>92</v>
      </c>
      <c r="I15" s="20" t="s">
        <v>99</v>
      </c>
      <c r="J15" s="22">
        <f>IRR(H16:H25)</f>
        <v>0.39120470784109984</v>
      </c>
      <c r="K15" s="20" t="s">
        <v>111</v>
      </c>
      <c r="N15" s="20" t="s">
        <v>74</v>
      </c>
      <c r="O15" s="20" t="s">
        <v>105</v>
      </c>
      <c r="P15" s="20" t="s">
        <v>107</v>
      </c>
      <c r="Q15" s="20" t="s">
        <v>108</v>
      </c>
      <c r="R15" s="20" t="s">
        <v>76</v>
      </c>
      <c r="S15" s="20" t="s">
        <v>78</v>
      </c>
      <c r="T15" s="20" t="s">
        <v>104</v>
      </c>
    </row>
    <row r="16" spans="1:20" x14ac:dyDescent="0.15">
      <c r="A16" s="20">
        <v>2021</v>
      </c>
      <c r="B16" s="20">
        <v>1820000</v>
      </c>
      <c r="C16" s="20">
        <f>部分计算!L4*部分计算!$W$3+部分计算!M4*部分计算!$W$4+部分计算!N4*部分计算!$W$7+部分计算!O4*部分计算!$W$5+部分计算!P4*部分计算!$W$6+部分计算!Q4*部分计算!$W$8+部分计算!R4*部分计算!$W$9+部分计算!S4*部分计算!$W$10</f>
        <v>1293400</v>
      </c>
      <c r="D16" s="20">
        <f>部分计算!$H$17*部分计算!L16*0.9+部分计算!$H$18*部分计算!M16+部分计算!$H$19*部分计算!N16</f>
        <v>37069.950000000048</v>
      </c>
      <c r="E16" s="20">
        <f>SUM(R16:T16)</f>
        <v>40172.77223505007</v>
      </c>
      <c r="F16" s="20">
        <f>部分计算!$Q$14*部分计算!$T$14*部分计算!$V$14*部分计算!L16*0.9</f>
        <v>223182.06797250037</v>
      </c>
      <c r="G16" s="20">
        <v>0.12</v>
      </c>
      <c r="H16" s="20">
        <f>F16-E16-D16-C16-B16</f>
        <v>-2967460.6542625497</v>
      </c>
      <c r="I16" s="20">
        <f>H16</f>
        <v>-2967460.6542625497</v>
      </c>
      <c r="J16" s="22"/>
      <c r="M16" s="20">
        <v>2021</v>
      </c>
      <c r="N16" s="20">
        <f t="shared" ref="N16:N25" si="9">F16*0.13</f>
        <v>29013.668836425048</v>
      </c>
      <c r="O16" s="20">
        <f t="shared" ref="O16:O25" si="10">B16*0.13</f>
        <v>236600</v>
      </c>
      <c r="P16" s="20">
        <f t="shared" ref="P16:P25" si="11">C16*0.13*0.8</f>
        <v>134513.60000000001</v>
      </c>
      <c r="Q16" s="20">
        <f t="shared" ref="Q16:Q25" si="12">D16*0.13*0.5</f>
        <v>2409.5467500000032</v>
      </c>
      <c r="R16" s="20">
        <f>IF(N16-O16-P16-Q16&gt;0,N16-O16-P16-Q16,0)</f>
        <v>0</v>
      </c>
      <c r="S16" s="20">
        <f>措施后变化!F16*0.06</f>
        <v>13390.924078350023</v>
      </c>
      <c r="T16" s="20">
        <f t="shared" ref="T16:T25" si="13">F16*0.12</f>
        <v>26781.848156700045</v>
      </c>
    </row>
    <row r="17" spans="1:20" x14ac:dyDescent="0.15">
      <c r="A17" s="20">
        <v>2022</v>
      </c>
      <c r="B17" s="20">
        <v>0</v>
      </c>
      <c r="C17" s="20">
        <f>部分计算!L5*部分计算!$W$3+部分计算!M5*部分计算!$W$4+部分计算!N5*部分计算!$W$7+部分计算!O5*部分计算!$W$5+部分计算!P5*部分计算!$W$6+部分计算!Q5*部分计算!$W$8+部分计算!R5*部分计算!$W$9+部分计算!S5*部分计算!$W$10</f>
        <v>3723525</v>
      </c>
      <c r="D17" s="20">
        <f>部分计算!$H$17*部分计算!L17*0.9+部分计算!$H$18*部分计算!M17+部分计算!$H$19*部分计算!N17</f>
        <v>303713.46000000008</v>
      </c>
      <c r="E17" s="20">
        <f t="shared" ref="E17:E25" si="14">SUM(R17:T17)</f>
        <v>658331.15948846983</v>
      </c>
      <c r="F17" s="20">
        <f>部分计算!$Q$14*部分计算!$T$14*部分计算!$V$14*部分计算!L17*0.9</f>
        <v>3436513.3367369995</v>
      </c>
      <c r="G17" s="20">
        <v>0.12</v>
      </c>
      <c r="H17" s="20">
        <f t="shared" ref="H17:H25" si="15">F17-E17-D17-C17-B17</f>
        <v>-1249056.2827514703</v>
      </c>
      <c r="I17" s="20">
        <f>I16+H17</f>
        <v>-4216516.93701402</v>
      </c>
      <c r="J17" s="22"/>
      <c r="M17" s="20">
        <v>2022</v>
      </c>
      <c r="N17" s="20">
        <f t="shared" si="9"/>
        <v>446746.73377580993</v>
      </c>
      <c r="O17" s="20">
        <f t="shared" si="10"/>
        <v>0</v>
      </c>
      <c r="P17" s="20">
        <f t="shared" si="11"/>
        <v>387246.60000000003</v>
      </c>
      <c r="Q17" s="20">
        <f t="shared" si="12"/>
        <v>19741.374900000006</v>
      </c>
      <c r="R17" s="20">
        <f t="shared" ref="R17:R25" si="16">IF(N17-O17-P17-Q17&gt;0,N17-O17-P17-Q17,0)</f>
        <v>39758.758875809886</v>
      </c>
      <c r="S17" s="20">
        <f>措施后变化!F17*0.06</f>
        <v>206190.80020421997</v>
      </c>
      <c r="T17" s="20">
        <f t="shared" si="13"/>
        <v>412381.60040843993</v>
      </c>
    </row>
    <row r="18" spans="1:20" x14ac:dyDescent="0.15">
      <c r="A18" s="20">
        <v>2023</v>
      </c>
      <c r="B18" s="20">
        <v>0</v>
      </c>
      <c r="C18" s="20">
        <f>部分计算!L6*部分计算!$W$3+部分计算!M6*部分计算!$W$4+部分计算!N6*部分计算!$W$7+部分计算!O6*部分计算!$W$5+部分计算!P6*部分计算!$W$6+部分计算!Q6*部分计算!$W$8+部分计算!R6*部分计算!$W$9+部分计算!S6*部分计算!$W$10</f>
        <v>2112101</v>
      </c>
      <c r="D18" s="20">
        <f>部分计算!$H$17*部分计算!L18*0.9+部分计算!$H$18*部分计算!M18+部分计算!$H$19*部分计算!N18</f>
        <v>423155.04</v>
      </c>
      <c r="E18" s="20">
        <f t="shared" si="14"/>
        <v>970143.48436627979</v>
      </c>
      <c r="F18" s="20">
        <f>部分计算!$Q$14*部分计算!$T$14*部分计算!$V$14*部分计算!L18*0.9</f>
        <v>3926796.9869879992</v>
      </c>
      <c r="G18" s="20">
        <v>0.12</v>
      </c>
      <c r="H18" s="20">
        <f t="shared" si="15"/>
        <v>421397.46262171958</v>
      </c>
      <c r="I18" s="20">
        <f>I17+H18</f>
        <v>-3795119.4743923005</v>
      </c>
      <c r="J18" s="22"/>
      <c r="M18" s="20">
        <v>2023</v>
      </c>
      <c r="N18" s="20">
        <f t="shared" si="9"/>
        <v>510483.6083084399</v>
      </c>
      <c r="O18" s="20">
        <f t="shared" si="10"/>
        <v>0</v>
      </c>
      <c r="P18" s="20">
        <f t="shared" si="11"/>
        <v>219658.50400000002</v>
      </c>
      <c r="Q18" s="20">
        <f t="shared" si="12"/>
        <v>27505.077600000001</v>
      </c>
      <c r="R18" s="20">
        <f t="shared" si="16"/>
        <v>263320.02670843987</v>
      </c>
      <c r="S18" s="20">
        <f>措施后变化!F18*0.06</f>
        <v>235607.81921927995</v>
      </c>
      <c r="T18" s="20">
        <f t="shared" si="13"/>
        <v>471215.63843855989</v>
      </c>
    </row>
    <row r="19" spans="1:20" x14ac:dyDescent="0.15">
      <c r="A19" s="20">
        <v>2024</v>
      </c>
      <c r="B19" s="20">
        <v>0</v>
      </c>
      <c r="C19" s="20">
        <f>部分计算!L7*部分计算!$W$3+部分计算!M7*部分计算!$W$4+部分计算!N7*部分计算!$W$7+部分计算!O7*部分计算!$W$5+部分计算!P7*部分计算!$W$6+部分计算!Q7*部分计算!$W$8+部分计算!R7*部分计算!$W$9+部分计算!S7*部分计算!$W$10</f>
        <v>1875181</v>
      </c>
      <c r="D19" s="20">
        <f>部分计算!$H$17*部分计算!L19*0.9+部分计算!$H$18*部分计算!M19+部分计算!$H$19*部分计算!N19</f>
        <v>715749.68</v>
      </c>
      <c r="E19" s="20">
        <f t="shared" si="14"/>
        <v>2160788.4718251601</v>
      </c>
      <c r="F19" s="20">
        <f>部分计算!$Q$14*部分计算!$T$14*部分计算!$V$14*部分计算!L19*0.9</f>
        <v>7749454.9194360003</v>
      </c>
      <c r="G19" s="20">
        <v>0.12</v>
      </c>
      <c r="H19" s="20">
        <f t="shared" si="15"/>
        <v>2997735.7676108405</v>
      </c>
      <c r="I19" s="20">
        <f t="shared" ref="I19:I25" si="17">I18+H19</f>
        <v>-797383.70678145997</v>
      </c>
      <c r="J19" s="22"/>
      <c r="M19" s="20">
        <v>2024</v>
      </c>
      <c r="N19" s="20">
        <f t="shared" si="9"/>
        <v>1007429.1395266801</v>
      </c>
      <c r="O19" s="20">
        <f t="shared" si="10"/>
        <v>0</v>
      </c>
      <c r="P19" s="20">
        <f t="shared" si="11"/>
        <v>195018.82400000002</v>
      </c>
      <c r="Q19" s="20">
        <f t="shared" si="12"/>
        <v>46523.729200000002</v>
      </c>
      <c r="R19" s="20">
        <f t="shared" si="16"/>
        <v>765886.58632668015</v>
      </c>
      <c r="S19" s="20">
        <f>措施后变化!F19*0.06</f>
        <v>464967.29516615998</v>
      </c>
      <c r="T19" s="20">
        <f t="shared" si="13"/>
        <v>929934.59033231996</v>
      </c>
    </row>
    <row r="20" spans="1:20" x14ac:dyDescent="0.15">
      <c r="A20" s="20">
        <v>2025</v>
      </c>
      <c r="B20" s="20">
        <v>0</v>
      </c>
      <c r="C20" s="20">
        <f>部分计算!L8*部分计算!$W$3+部分计算!M8*部分计算!$W$4+部分计算!N8*部分计算!$W$7+部分计算!O8*部分计算!$W$5+部分计算!P8*部分计算!$W$6+部分计算!Q8*部分计算!$W$8+部分计算!R8*部分计算!$W$9+部分计算!S8*部分计算!$W$10</f>
        <v>1106364</v>
      </c>
      <c r="D20" s="20">
        <f>部分计算!$H$17*部分计算!L20*0.9+部分计算!$H$18*部分计算!M20+部分计算!$H$19*部分计算!N20</f>
        <v>923717.1100000001</v>
      </c>
      <c r="E20" s="20">
        <f t="shared" si="14"/>
        <v>2216103.9211255456</v>
      </c>
      <c r="F20" s="20">
        <f>部分计算!$Q$14*部分计算!$T$14*部分计算!$V$14*部分计算!L20*0.9</f>
        <v>7713572.2234695023</v>
      </c>
      <c r="G20" s="20">
        <v>0.12</v>
      </c>
      <c r="H20" s="20">
        <f t="shared" si="15"/>
        <v>3467387.1923439568</v>
      </c>
      <c r="I20" s="20">
        <f t="shared" si="17"/>
        <v>2670003.4855624968</v>
      </c>
      <c r="J20" s="22"/>
      <c r="M20" s="20">
        <v>2025</v>
      </c>
      <c r="N20" s="20">
        <f t="shared" si="9"/>
        <v>1002764.3890510353</v>
      </c>
      <c r="O20" s="20">
        <f t="shared" si="10"/>
        <v>0</v>
      </c>
      <c r="P20" s="20">
        <f t="shared" si="11"/>
        <v>115061.85600000001</v>
      </c>
      <c r="Q20" s="20">
        <f t="shared" si="12"/>
        <v>60041.612150000008</v>
      </c>
      <c r="R20" s="20">
        <f t="shared" si="16"/>
        <v>827660.92090103519</v>
      </c>
      <c r="S20" s="20">
        <f>措施后变化!F20*0.06</f>
        <v>462814.33340817015</v>
      </c>
      <c r="T20" s="20">
        <f t="shared" si="13"/>
        <v>925628.66681634029</v>
      </c>
    </row>
    <row r="21" spans="1:20" x14ac:dyDescent="0.15">
      <c r="A21" s="20">
        <v>2026</v>
      </c>
      <c r="B21" s="20">
        <v>0</v>
      </c>
      <c r="C21" s="20">
        <v>0</v>
      </c>
      <c r="D21" s="20">
        <f>部分计算!$H$17*部分计算!L21*0.9+部分计算!$H$18*部分计算!M21+部分计算!$H$19*部分计算!N21</f>
        <v>938729.73</v>
      </c>
      <c r="E21" s="20">
        <f t="shared" si="14"/>
        <v>2201010.7420844845</v>
      </c>
      <c r="F21" s="20">
        <f>部分计算!$Q$14*部分计算!$T$14*部分计算!$V$14*部分计算!L21*0.9</f>
        <v>7296865.0791434981</v>
      </c>
      <c r="G21" s="20">
        <v>0.12</v>
      </c>
      <c r="H21" s="20">
        <f t="shared" si="15"/>
        <v>4157124.6070590136</v>
      </c>
      <c r="I21" s="20">
        <f t="shared" si="17"/>
        <v>6827128.0926215108</v>
      </c>
      <c r="J21" s="22"/>
      <c r="M21" s="20">
        <v>2026</v>
      </c>
      <c r="N21" s="20">
        <f t="shared" si="9"/>
        <v>948592.46028865478</v>
      </c>
      <c r="O21" s="20">
        <f t="shared" si="10"/>
        <v>0</v>
      </c>
      <c r="P21" s="20">
        <f t="shared" si="11"/>
        <v>0</v>
      </c>
      <c r="Q21" s="20">
        <f t="shared" si="12"/>
        <v>61017.43245</v>
      </c>
      <c r="R21" s="20">
        <f t="shared" si="16"/>
        <v>887575.02783865482</v>
      </c>
      <c r="S21" s="20">
        <f>措施后变化!F21*0.06</f>
        <v>437811.90474860987</v>
      </c>
      <c r="T21" s="20">
        <f t="shared" si="13"/>
        <v>875623.80949721974</v>
      </c>
    </row>
    <row r="22" spans="1:20" x14ac:dyDescent="0.15">
      <c r="A22" s="20">
        <v>2027</v>
      </c>
      <c r="B22" s="20">
        <v>0</v>
      </c>
      <c r="C22" s="20">
        <v>0</v>
      </c>
      <c r="D22" s="20">
        <f>部分计算!$H$17*部分计算!L22*0.9+部分计算!$H$18*部分计算!M22+部分计算!$H$19*部分计算!N22</f>
        <v>842959.94000000006</v>
      </c>
      <c r="E22" s="20">
        <f t="shared" si="14"/>
        <v>1797532.7401571304</v>
      </c>
      <c r="F22" s="20">
        <f>部分计算!$Q$14*部分计算!$T$14*部分计算!$V$14*部分计算!L22*0.9</f>
        <v>5975242.3750230018</v>
      </c>
      <c r="G22" s="20">
        <v>0.12</v>
      </c>
      <c r="H22" s="20">
        <f t="shared" si="15"/>
        <v>3334749.6948658717</v>
      </c>
      <c r="I22" s="20">
        <f t="shared" si="17"/>
        <v>10161877.787487382</v>
      </c>
      <c r="J22" s="22"/>
      <c r="M22" s="20">
        <v>2027</v>
      </c>
      <c r="N22" s="20">
        <f t="shared" si="9"/>
        <v>776781.50875299028</v>
      </c>
      <c r="O22" s="20">
        <f t="shared" si="10"/>
        <v>0</v>
      </c>
      <c r="P22" s="20">
        <f t="shared" si="11"/>
        <v>0</v>
      </c>
      <c r="Q22" s="20">
        <f t="shared" si="12"/>
        <v>54792.396100000005</v>
      </c>
      <c r="R22" s="20">
        <f t="shared" si="16"/>
        <v>721989.11265299027</v>
      </c>
      <c r="S22" s="20">
        <f>措施后变化!F22*0.06</f>
        <v>358514.54250138009</v>
      </c>
      <c r="T22" s="20">
        <f t="shared" si="13"/>
        <v>717029.08500276017</v>
      </c>
    </row>
    <row r="23" spans="1:20" x14ac:dyDescent="0.15">
      <c r="A23" s="20">
        <v>2028</v>
      </c>
      <c r="B23" s="20">
        <v>0</v>
      </c>
      <c r="C23" s="20">
        <v>0</v>
      </c>
      <c r="D23" s="20">
        <f>部分计算!$H$17*部分计算!L23*0.9+部分计算!$H$18*部分计算!M23+部分计算!$H$19*部分计算!N23</f>
        <v>701178</v>
      </c>
      <c r="E23" s="20">
        <f t="shared" si="14"/>
        <v>1238963.5751342999</v>
      </c>
      <c r="F23" s="20">
        <f>部分计算!$Q$14*部分计算!$T$14*部分计算!$V$14*部分计算!L23*0.9</f>
        <v>4143677.8875299999</v>
      </c>
      <c r="G23" s="20">
        <v>0.12</v>
      </c>
      <c r="H23" s="20">
        <f t="shared" si="15"/>
        <v>2203536.3123957003</v>
      </c>
      <c r="I23" s="20">
        <f t="shared" si="17"/>
        <v>12365414.099883083</v>
      </c>
      <c r="J23" s="22"/>
      <c r="M23" s="20">
        <v>2028</v>
      </c>
      <c r="N23" s="20">
        <f t="shared" si="9"/>
        <v>538678.12537889997</v>
      </c>
      <c r="O23" s="20">
        <f t="shared" si="10"/>
        <v>0</v>
      </c>
      <c r="P23" s="20">
        <f t="shared" si="11"/>
        <v>0</v>
      </c>
      <c r="Q23" s="20">
        <f t="shared" si="12"/>
        <v>45576.57</v>
      </c>
      <c r="R23" s="20">
        <f t="shared" si="16"/>
        <v>493101.55537889997</v>
      </c>
      <c r="S23" s="20">
        <f>措施后变化!F23*0.06</f>
        <v>248620.67325179998</v>
      </c>
      <c r="T23" s="20">
        <f t="shared" si="13"/>
        <v>497241.34650359995</v>
      </c>
    </row>
    <row r="24" spans="1:20" x14ac:dyDescent="0.15">
      <c r="A24" s="20">
        <v>2029</v>
      </c>
      <c r="B24" s="20">
        <v>0</v>
      </c>
      <c r="C24" s="20">
        <v>0</v>
      </c>
      <c r="D24" s="20">
        <f>部分计算!$H$17*部分计算!L24*0.9+部分计算!$H$18*部分计算!M24+部分计算!$H$19*部分计算!N24</f>
        <v>585185.53500000003</v>
      </c>
      <c r="E24" s="20">
        <f t="shared" si="14"/>
        <v>780977.17472123262</v>
      </c>
      <c r="F24" s="20">
        <f>部分计算!$Q$14*部分计算!$T$14*部分计算!$V$14*部分计算!L24*0.9</f>
        <v>2641981.4016007502</v>
      </c>
      <c r="G24" s="20">
        <v>0.12</v>
      </c>
      <c r="H24" s="20">
        <f t="shared" si="15"/>
        <v>1275818.6918795174</v>
      </c>
      <c r="I24" s="20">
        <f t="shared" si="17"/>
        <v>13641232.791762602</v>
      </c>
      <c r="J24" s="22"/>
      <c r="M24" s="20">
        <v>2029</v>
      </c>
      <c r="N24" s="20">
        <f t="shared" si="9"/>
        <v>343457.5822080975</v>
      </c>
      <c r="O24" s="20">
        <f t="shared" si="10"/>
        <v>0</v>
      </c>
      <c r="P24" s="20">
        <f t="shared" si="11"/>
        <v>0</v>
      </c>
      <c r="Q24" s="20">
        <f t="shared" si="12"/>
        <v>38037.059775000002</v>
      </c>
      <c r="R24" s="20">
        <f t="shared" si="16"/>
        <v>305420.52243309747</v>
      </c>
      <c r="S24" s="20">
        <f>措施后变化!F24*0.06</f>
        <v>158518.88409604502</v>
      </c>
      <c r="T24" s="20">
        <f t="shared" si="13"/>
        <v>317037.76819209004</v>
      </c>
    </row>
    <row r="25" spans="1:20" x14ac:dyDescent="0.15">
      <c r="A25" s="20">
        <v>2030</v>
      </c>
      <c r="B25" s="20">
        <v>0</v>
      </c>
      <c r="C25" s="20">
        <v>0</v>
      </c>
      <c r="D25" s="20">
        <f>部分计算!$H$17*部分计算!L25*0.9+部分计算!$H$18*部分计算!M25+部分计算!$H$19*部分计算!N25</f>
        <v>549312.32000000007</v>
      </c>
      <c r="E25" s="20">
        <f t="shared" si="14"/>
        <v>559613.90541703987</v>
      </c>
      <c r="F25" s="20">
        <f>部分计算!$Q$14*部分计算!$T$14*部分计算!$V$14*部分计算!L25*0.9</f>
        <v>1920384.5361839996</v>
      </c>
      <c r="G25" s="20">
        <v>0.12</v>
      </c>
      <c r="H25" s="20">
        <f t="shared" si="15"/>
        <v>811458.3107669598</v>
      </c>
      <c r="I25" s="20">
        <f t="shared" si="17"/>
        <v>14452691.102529561</v>
      </c>
      <c r="J25" s="21"/>
      <c r="M25" s="20">
        <v>2030</v>
      </c>
      <c r="N25" s="20">
        <f t="shared" si="9"/>
        <v>249649.98970391997</v>
      </c>
      <c r="O25" s="20">
        <f t="shared" si="10"/>
        <v>0</v>
      </c>
      <c r="P25" s="20">
        <f t="shared" si="11"/>
        <v>0</v>
      </c>
      <c r="Q25" s="20">
        <f t="shared" si="12"/>
        <v>35705.300800000005</v>
      </c>
      <c r="R25" s="20">
        <f t="shared" si="16"/>
        <v>213944.68890391997</v>
      </c>
      <c r="S25" s="20">
        <f>措施后变化!F25*0.06</f>
        <v>115223.07217103997</v>
      </c>
      <c r="T25" s="20">
        <f t="shared" si="13"/>
        <v>230446.14434207993</v>
      </c>
    </row>
    <row r="27" spans="1:20" x14ac:dyDescent="0.15">
      <c r="A27" s="20" t="s">
        <v>0</v>
      </c>
      <c r="B27" s="20" t="s">
        <v>95</v>
      </c>
      <c r="C27" s="20" t="s">
        <v>3</v>
      </c>
      <c r="D27" s="20" t="s">
        <v>5</v>
      </c>
      <c r="E27" s="20" t="s">
        <v>71</v>
      </c>
      <c r="F27" s="20" t="s">
        <v>84</v>
      </c>
      <c r="G27" s="20" t="s">
        <v>7</v>
      </c>
      <c r="H27" s="20" t="s">
        <v>92</v>
      </c>
      <c r="I27" s="20" t="s">
        <v>99</v>
      </c>
      <c r="J27" s="22">
        <f>IRR(H28:H37)</f>
        <v>0.26187233525446141</v>
      </c>
      <c r="K27" s="20" t="s">
        <v>112</v>
      </c>
      <c r="N27" s="20" t="s">
        <v>74</v>
      </c>
      <c r="O27" s="20" t="s">
        <v>105</v>
      </c>
      <c r="P27" s="20" t="s">
        <v>107</v>
      </c>
      <c r="Q27" s="20" t="s">
        <v>108</v>
      </c>
      <c r="R27" s="20" t="s">
        <v>76</v>
      </c>
      <c r="S27" s="20" t="s">
        <v>78</v>
      </c>
      <c r="T27" s="20" t="s">
        <v>104</v>
      </c>
    </row>
    <row r="28" spans="1:20" x14ac:dyDescent="0.15">
      <c r="A28" s="20">
        <v>2021</v>
      </c>
      <c r="B28" s="20">
        <v>1820000</v>
      </c>
      <c r="C28" s="20">
        <f>部分计算!L4*部分计算!$W$3+部分计算!M4*部分计算!$W$4+部分计算!N4*部分计算!$W$7+部分计算!O4*部分计算!$W$5+部分计算!P4*部分计算!$W$6+部分计算!Q4*部分计算!$W$8+部分计算!R4*部分计算!$W$9+部分计算!S4*部分计算!$W$10</f>
        <v>1293400</v>
      </c>
      <c r="D28" s="20">
        <f>部分计算!$H$17*部分计算!L16*0.8+部分计算!$H$18*部分计算!M16+部分计算!$H$19*部分计算!N16</f>
        <v>36892.500000000044</v>
      </c>
      <c r="E28" s="20">
        <f>SUM(R28:T28)</f>
        <v>549842.13387791999</v>
      </c>
      <c r="F28" s="20">
        <f>部分计算!$Q$14*部分计算!$T$14*部分计算!$V$14*部分计算!L16*0.8</f>
        <v>198384.06042000034</v>
      </c>
      <c r="G28" s="20">
        <v>0.12</v>
      </c>
      <c r="H28" s="20">
        <f>F28-E28-D28-C28-B28</f>
        <v>-3501750.57345792</v>
      </c>
      <c r="I28" s="20">
        <f>H28</f>
        <v>-3501750.57345792</v>
      </c>
      <c r="J28" s="22"/>
      <c r="M28" s="20">
        <v>2021</v>
      </c>
      <c r="N28" s="20">
        <f>F28*0.13</f>
        <v>25789.927854600046</v>
      </c>
      <c r="O28" s="20">
        <f t="shared" ref="O28:O37" si="18">B29*0.13</f>
        <v>0</v>
      </c>
      <c r="P28" s="20">
        <f>C28*0.13*0.8</f>
        <v>134513.60000000001</v>
      </c>
      <c r="Q28" s="20">
        <f t="shared" ref="Q28:Q37" si="19">D29*0.13*0.5</f>
        <v>19563.77280000001</v>
      </c>
      <c r="R28" s="20">
        <f>IF(N28-O28-P28-Q28&gt;0,N28-O28-P28-Q28,0)</f>
        <v>0</v>
      </c>
      <c r="S28" s="20">
        <f>措施后变化!F29*0.06</f>
        <v>183280.71129263999</v>
      </c>
      <c r="T28" s="20">
        <f t="shared" ref="T28:T37" si="20">F29*0.12</f>
        <v>366561.42258527997</v>
      </c>
    </row>
    <row r="29" spans="1:20" x14ac:dyDescent="0.15">
      <c r="A29" s="20">
        <v>2022</v>
      </c>
      <c r="B29" s="20">
        <v>0</v>
      </c>
      <c r="C29" s="20">
        <f>部分计算!L5*部分计算!$W$3+部分计算!M5*部分计算!$W$4+部分计算!N5*部分计算!$W$7+部分计算!O5*部分计算!$W$5+部分计算!P5*部分计算!$W$6+部分计算!Q5*部分计算!$W$8+部分计算!R5*部分计算!$W$9+部分计算!S5*部分计算!$W$10</f>
        <v>3723525</v>
      </c>
      <c r="D29" s="20">
        <f>部分计算!$H$17*部分计算!L17*0.8+部分计算!$H$18*部分计算!M17+部分计算!$H$19*部分计算!N17</f>
        <v>300981.12000000011</v>
      </c>
      <c r="E29" s="20">
        <f t="shared" ref="E29:E37" si="21">SUM(R29:T29)</f>
        <v>628287.51791807986</v>
      </c>
      <c r="F29" s="20">
        <f>部分计算!$Q$14*部分计算!$T$14*部分计算!$V$14*部分计算!L17*0.8</f>
        <v>3054678.5215439997</v>
      </c>
      <c r="G29" s="20">
        <v>0.12</v>
      </c>
      <c r="H29" s="20">
        <f t="shared" ref="H29:H37" si="22">F29-E29-D29-C29-B29</f>
        <v>-1598115.1163740801</v>
      </c>
      <c r="I29" s="20">
        <f>I28+H29</f>
        <v>-5099865.6898320001</v>
      </c>
      <c r="J29" s="22"/>
      <c r="M29" s="20">
        <v>2022</v>
      </c>
      <c r="N29" s="20">
        <f t="shared" ref="N29:N37" si="23">F29*0.13</f>
        <v>397108.20780071995</v>
      </c>
      <c r="O29" s="20">
        <f t="shared" si="18"/>
        <v>0</v>
      </c>
      <c r="P29" s="20">
        <f t="shared" ref="P29:P32" si="24">C29*0.13*0.8</f>
        <v>387246.60000000003</v>
      </c>
      <c r="Q29" s="20">
        <f t="shared" si="19"/>
        <v>27302.137200000001</v>
      </c>
      <c r="R29" s="20">
        <f t="shared" ref="R29:R37" si="25">IF(N29-O29-P29-Q29&gt;0,N29-O29-P29-Q29,0)</f>
        <v>0</v>
      </c>
      <c r="S29" s="20">
        <f>措施后变化!F30*0.06</f>
        <v>209429.17263935995</v>
      </c>
      <c r="T29" s="20">
        <f t="shared" si="20"/>
        <v>418858.34527871991</v>
      </c>
    </row>
    <row r="30" spans="1:20" x14ac:dyDescent="0.15">
      <c r="A30" s="20">
        <v>2023</v>
      </c>
      <c r="B30" s="20">
        <v>0</v>
      </c>
      <c r="C30" s="20">
        <f>部分计算!L6*部分计算!$W$3+部分计算!M6*部分计算!$W$4+部分计算!N6*部分计算!$W$7+部分计算!O6*部分计算!$W$5+部分计算!P6*部分计算!$W$6+部分计算!Q6*部分计算!$W$8+部分计算!R6*部分计算!$W$9+部分计算!S6*部分计算!$W$10</f>
        <v>2112101</v>
      </c>
      <c r="D30" s="20">
        <f>部分计算!$H$17*部分计算!L18*0.8+部分计算!$H$18*部分计算!M18+部分计算!$H$19*部分计算!N18</f>
        <v>420032.88</v>
      </c>
      <c r="E30" s="20">
        <f t="shared" si="21"/>
        <v>1427894.2600950398</v>
      </c>
      <c r="F30" s="20">
        <f>部分计算!$Q$14*部分计算!$T$14*部分计算!$V$14*部分计算!L18*0.8</f>
        <v>3490486.2106559994</v>
      </c>
      <c r="G30" s="20">
        <v>0.12</v>
      </c>
      <c r="H30" s="20">
        <f t="shared" si="22"/>
        <v>-469541.92943904037</v>
      </c>
      <c r="I30" s="20">
        <f>I29+H30</f>
        <v>-5569407.61927104</v>
      </c>
      <c r="J30" s="22"/>
      <c r="M30" s="20">
        <v>2023</v>
      </c>
      <c r="N30" s="20">
        <f t="shared" si="23"/>
        <v>453763.20738527994</v>
      </c>
      <c r="O30" s="20">
        <f t="shared" si="18"/>
        <v>0</v>
      </c>
      <c r="P30" s="20">
        <f t="shared" si="24"/>
        <v>219658.50400000002</v>
      </c>
      <c r="Q30" s="20">
        <f t="shared" si="19"/>
        <v>46123.2304</v>
      </c>
      <c r="R30" s="20">
        <f t="shared" si="25"/>
        <v>187981.47298527992</v>
      </c>
      <c r="S30" s="20">
        <f>措施后变化!F31*0.06</f>
        <v>413304.26236991998</v>
      </c>
      <c r="T30" s="20">
        <f t="shared" si="20"/>
        <v>826608.52473983995</v>
      </c>
    </row>
    <row r="31" spans="1:20" x14ac:dyDescent="0.15">
      <c r="A31" s="20">
        <v>2024</v>
      </c>
      <c r="B31" s="20">
        <v>0</v>
      </c>
      <c r="C31" s="20">
        <f>部分计算!L7*部分计算!$W$3+部分计算!M7*部分计算!$W$4+部分计算!N7*部分计算!$W$7+部分计算!O7*部分计算!$W$5+部分计算!P7*部分计算!$W$6+部分计算!Q7*部分计算!$W$8+部分计算!R7*部分计算!$W$9+部分计算!S7*部分计算!$W$10</f>
        <v>1875181</v>
      </c>
      <c r="D31" s="20">
        <f>部分计算!$H$17*部分计算!L19*0.8+部分计算!$H$18*部分计算!M19+部分计算!$H$19*部分计算!N19</f>
        <v>709588.16</v>
      </c>
      <c r="E31" s="20">
        <f t="shared" si="21"/>
        <v>1875002.3324232805</v>
      </c>
      <c r="F31" s="20">
        <f>部分计算!$Q$14*部分计算!$T$14*部分计算!$V$14*部分计算!L19*0.8</f>
        <v>6888404.3728320003</v>
      </c>
      <c r="G31" s="20">
        <v>0.12</v>
      </c>
      <c r="H31" s="20">
        <f t="shared" si="22"/>
        <v>2428632.8804087192</v>
      </c>
      <c r="I31" s="20">
        <f t="shared" ref="I31:I37" si="26">I30+H31</f>
        <v>-3140774.7388623208</v>
      </c>
      <c r="J31" s="22"/>
      <c r="M31" s="20">
        <v>2024</v>
      </c>
      <c r="N31" s="20">
        <f t="shared" si="23"/>
        <v>895492.56846816011</v>
      </c>
      <c r="O31" s="20">
        <f t="shared" si="18"/>
        <v>0</v>
      </c>
      <c r="P31" s="20">
        <f t="shared" si="24"/>
        <v>195018.82400000002</v>
      </c>
      <c r="Q31" s="20">
        <f t="shared" si="19"/>
        <v>59642.967800000006</v>
      </c>
      <c r="R31" s="20">
        <f t="shared" si="25"/>
        <v>640830.77666816011</v>
      </c>
      <c r="S31" s="20">
        <f>措施后变化!F32*0.06</f>
        <v>411390.51858504006</v>
      </c>
      <c r="T31" s="20">
        <f t="shared" si="20"/>
        <v>822781.03717008012</v>
      </c>
    </row>
    <row r="32" spans="1:20" x14ac:dyDescent="0.15">
      <c r="A32" s="20">
        <v>2025</v>
      </c>
      <c r="B32" s="20">
        <v>0</v>
      </c>
      <c r="C32" s="20">
        <f>部分计算!L8*部分计算!$W$3+部分计算!M8*部分计算!$W$4+部分计算!N8*部分计算!$W$7+部分计算!O8*部分计算!$W$5+部分计算!P8*部分计算!$W$6+部分计算!Q8*部分计算!$W$8+部分计算!R8*部分计算!$W$9+部分计算!S8*部分计算!$W$10</f>
        <v>1106364</v>
      </c>
      <c r="D32" s="20">
        <f>部分计算!$H$17*部分计算!L20*0.8+部分计算!$H$18*部分计算!M20+部分计算!$H$19*部分计算!N20</f>
        <v>917584.12000000011</v>
      </c>
      <c r="E32" s="20">
        <f t="shared" si="21"/>
        <v>1883142.3563638802</v>
      </c>
      <c r="F32" s="20">
        <f>部分计算!$Q$14*部分计算!$T$14*部分计算!$V$14*部分计算!L20*0.8</f>
        <v>6856508.6430840017</v>
      </c>
      <c r="G32" s="20">
        <v>0.12</v>
      </c>
      <c r="H32" s="20">
        <f t="shared" si="22"/>
        <v>2949418.1667201212</v>
      </c>
      <c r="I32" s="20">
        <f t="shared" si="26"/>
        <v>-191356.57214219961</v>
      </c>
      <c r="J32" s="22"/>
      <c r="M32" s="20">
        <v>2025</v>
      </c>
      <c r="N32" s="20">
        <f t="shared" si="23"/>
        <v>891346.12360092031</v>
      </c>
      <c r="O32" s="20">
        <f t="shared" si="18"/>
        <v>0</v>
      </c>
      <c r="P32" s="20">
        <f t="shared" si="24"/>
        <v>115061.85600000001</v>
      </c>
      <c r="Q32" s="20">
        <f t="shared" si="19"/>
        <v>60640.323900000003</v>
      </c>
      <c r="R32" s="20">
        <f t="shared" si="25"/>
        <v>715643.94370092032</v>
      </c>
      <c r="S32" s="20">
        <f>措施后变化!F33*0.06</f>
        <v>389166.13755431992</v>
      </c>
      <c r="T32" s="20">
        <f t="shared" si="20"/>
        <v>778332.27510863985</v>
      </c>
    </row>
    <row r="33" spans="1:20" x14ac:dyDescent="0.15">
      <c r="A33" s="20">
        <v>2026</v>
      </c>
      <c r="B33" s="20">
        <v>0</v>
      </c>
      <c r="C33" s="20">
        <v>0</v>
      </c>
      <c r="D33" s="20">
        <f>部分计算!$H$17*部分计算!L21*0.8+部分计算!$H$18*部分计算!M21+部分计算!$H$19*部分计算!N21</f>
        <v>932928.06</v>
      </c>
      <c r="E33" s="20">
        <f t="shared" si="21"/>
        <v>1744748.4878380401</v>
      </c>
      <c r="F33" s="20">
        <f>部分计算!$Q$14*部分计算!$T$14*部分计算!$V$14*部分计算!L21*0.8</f>
        <v>6486102.2925719991</v>
      </c>
      <c r="G33" s="20">
        <v>0.12</v>
      </c>
      <c r="H33" s="20">
        <f t="shared" si="22"/>
        <v>3808425.744733959</v>
      </c>
      <c r="I33" s="20">
        <f t="shared" si="26"/>
        <v>3617069.1725917594</v>
      </c>
      <c r="J33" s="22"/>
      <c r="M33" s="20">
        <v>2026</v>
      </c>
      <c r="N33" s="20">
        <f t="shared" si="23"/>
        <v>843193.29803435993</v>
      </c>
      <c r="O33" s="20">
        <f t="shared" si="18"/>
        <v>0</v>
      </c>
      <c r="P33" s="20">
        <f t="shared" ref="P28:P37" si="27">C34*0.13*0.8</f>
        <v>0</v>
      </c>
      <c r="Q33" s="20">
        <f t="shared" si="19"/>
        <v>54483.590200000006</v>
      </c>
      <c r="R33" s="20">
        <f t="shared" si="25"/>
        <v>788709.70783435996</v>
      </c>
      <c r="S33" s="20">
        <f>措施后变化!F34*0.06</f>
        <v>318679.59333456005</v>
      </c>
      <c r="T33" s="20">
        <f t="shared" si="20"/>
        <v>637359.1866691201</v>
      </c>
    </row>
    <row r="34" spans="1:20" x14ac:dyDescent="0.15">
      <c r="A34" s="20">
        <v>2027</v>
      </c>
      <c r="B34" s="20">
        <v>0</v>
      </c>
      <c r="C34" s="20">
        <v>0</v>
      </c>
      <c r="D34" s="20">
        <f>部分计算!$H$17*部分计算!L22*0.8+部分计算!$H$18*部分计算!M22+部分计算!$H$19*部分计算!N22</f>
        <v>838209.08000000007</v>
      </c>
      <c r="E34" s="20">
        <f t="shared" si="21"/>
        <v>1308098.4932296802</v>
      </c>
      <c r="F34" s="20">
        <f>部分计算!$Q$14*部分计算!$T$14*部分计算!$V$14*部分计算!L22*0.8</f>
        <v>5311326.5555760013</v>
      </c>
      <c r="G34" s="20">
        <v>0.12</v>
      </c>
      <c r="H34" s="20">
        <f t="shared" si="22"/>
        <v>3165018.982346321</v>
      </c>
      <c r="I34" s="20">
        <f t="shared" si="26"/>
        <v>6782088.1549380803</v>
      </c>
      <c r="J34" s="22"/>
      <c r="M34" s="20">
        <v>2027</v>
      </c>
      <c r="N34" s="20">
        <f t="shared" si="23"/>
        <v>690472.45222488022</v>
      </c>
      <c r="O34" s="20">
        <f t="shared" si="18"/>
        <v>0</v>
      </c>
      <c r="P34" s="20">
        <f t="shared" si="27"/>
        <v>0</v>
      </c>
      <c r="Q34" s="20">
        <f t="shared" si="19"/>
        <v>45362.420999999995</v>
      </c>
      <c r="R34" s="20">
        <f t="shared" si="25"/>
        <v>645110.03122488025</v>
      </c>
      <c r="S34" s="20">
        <f>措施后变化!F35*0.06</f>
        <v>220996.15400159999</v>
      </c>
      <c r="T34" s="20">
        <f t="shared" si="20"/>
        <v>441992.30800319999</v>
      </c>
    </row>
    <row r="35" spans="1:20" x14ac:dyDescent="0.15">
      <c r="A35" s="20">
        <v>2028</v>
      </c>
      <c r="B35" s="20">
        <v>0</v>
      </c>
      <c r="C35" s="20">
        <v>0</v>
      </c>
      <c r="D35" s="20">
        <f>部分计算!$H$17*部分计算!L23*0.8+部分计算!$H$18*部分计算!M23+部分计算!$H$19*部分计算!N23</f>
        <v>697883.39999999991</v>
      </c>
      <c r="E35" s="20">
        <f t="shared" si="21"/>
        <v>863641.50479291985</v>
      </c>
      <c r="F35" s="20">
        <f>部分计算!$Q$14*部分计算!$T$14*部分计算!$V$14*部分计算!L23*0.8</f>
        <v>3683269.23336</v>
      </c>
      <c r="G35" s="20">
        <v>0.12</v>
      </c>
      <c r="H35" s="20">
        <f t="shared" si="22"/>
        <v>2121744.3285670802</v>
      </c>
      <c r="I35" s="20">
        <f t="shared" si="26"/>
        <v>8903832.4835051596</v>
      </c>
      <c r="J35" s="22"/>
      <c r="M35" s="20">
        <v>2028</v>
      </c>
      <c r="N35" s="20">
        <f t="shared" si="23"/>
        <v>478825.0003368</v>
      </c>
      <c r="O35" s="20">
        <f t="shared" si="18"/>
        <v>0</v>
      </c>
      <c r="P35" s="20">
        <f t="shared" si="27"/>
        <v>0</v>
      </c>
      <c r="Q35" s="20">
        <f t="shared" si="19"/>
        <v>37900.519799999995</v>
      </c>
      <c r="R35" s="20">
        <f t="shared" si="25"/>
        <v>440924.48053679999</v>
      </c>
      <c r="S35" s="20">
        <f>措施后变化!F36*0.06</f>
        <v>140905.67475203998</v>
      </c>
      <c r="T35" s="20">
        <f t="shared" si="20"/>
        <v>281811.34950407996</v>
      </c>
    </row>
    <row r="36" spans="1:20" x14ac:dyDescent="0.15">
      <c r="A36" s="20">
        <v>2029</v>
      </c>
      <c r="B36" s="20">
        <v>0</v>
      </c>
      <c r="C36" s="20">
        <v>0</v>
      </c>
      <c r="D36" s="20">
        <f>部分计算!$H$17*部分计算!L24*0.8+部分计算!$H$18*部分计算!M24+部分计算!$H$19*部分计算!N24</f>
        <v>583084.91999999993</v>
      </c>
      <c r="E36" s="20">
        <f t="shared" si="21"/>
        <v>576951.10081885988</v>
      </c>
      <c r="F36" s="20">
        <f>部分计算!$Q$14*部分计算!$T$14*部分计算!$V$14*部分计算!L24*0.8</f>
        <v>2348427.9125339999</v>
      </c>
      <c r="G36" s="20">
        <v>0.12</v>
      </c>
      <c r="H36" s="20">
        <f t="shared" si="22"/>
        <v>1188391.8917151401</v>
      </c>
      <c r="I36" s="20">
        <f t="shared" si="26"/>
        <v>10092224.375220299</v>
      </c>
      <c r="J36" s="22"/>
      <c r="M36" s="20">
        <v>2029</v>
      </c>
      <c r="N36" s="20">
        <f t="shared" si="23"/>
        <v>305295.62862942001</v>
      </c>
      <c r="O36" s="20">
        <f t="shared" si="18"/>
        <v>0</v>
      </c>
      <c r="P36" s="20">
        <f t="shared" si="27"/>
        <v>0</v>
      </c>
      <c r="Q36" s="20">
        <f t="shared" si="19"/>
        <v>35606.053600000007</v>
      </c>
      <c r="R36" s="20">
        <f t="shared" si="25"/>
        <v>269689.57502942003</v>
      </c>
      <c r="S36" s="20">
        <f>措施后变化!F37*0.06</f>
        <v>102420.50859647998</v>
      </c>
      <c r="T36" s="20">
        <f t="shared" si="20"/>
        <v>204841.01719295996</v>
      </c>
    </row>
    <row r="37" spans="1:20" x14ac:dyDescent="0.15">
      <c r="A37" s="20">
        <v>2030</v>
      </c>
      <c r="B37" s="20">
        <v>0</v>
      </c>
      <c r="C37" s="20">
        <v>0</v>
      </c>
      <c r="D37" s="20">
        <f>部分计算!$H$17*部分计算!L25*0.8+部分计算!$H$18*部分计算!M25+部分计算!$H$19*部分计算!N25</f>
        <v>547785.44000000006</v>
      </c>
      <c r="E37" s="20">
        <f t="shared" si="21"/>
        <v>221911.10195903998</v>
      </c>
      <c r="F37" s="20">
        <f>部分计算!$Q$14*部分计算!$T$14*部分计算!$V$14*部分计算!L25*0.8</f>
        <v>1707008.4766079998</v>
      </c>
      <c r="G37" s="20">
        <v>0.12</v>
      </c>
      <c r="H37" s="20">
        <f t="shared" si="22"/>
        <v>937311.93464895978</v>
      </c>
      <c r="I37" s="20">
        <f t="shared" si="26"/>
        <v>11029536.309869258</v>
      </c>
      <c r="J37" s="21"/>
      <c r="M37" s="20">
        <v>2030</v>
      </c>
      <c r="N37" s="20">
        <f t="shared" si="23"/>
        <v>221911.10195903998</v>
      </c>
      <c r="O37" s="20">
        <f t="shared" si="18"/>
        <v>0</v>
      </c>
      <c r="P37" s="20">
        <f t="shared" si="27"/>
        <v>0</v>
      </c>
      <c r="Q37" s="20">
        <f t="shared" si="19"/>
        <v>0</v>
      </c>
      <c r="R37" s="20">
        <f t="shared" si="25"/>
        <v>221911.10195903998</v>
      </c>
      <c r="S37" s="20">
        <f>措施后变化!F38*0.06</f>
        <v>0</v>
      </c>
      <c r="T37" s="20">
        <f t="shared" si="20"/>
        <v>0</v>
      </c>
    </row>
    <row r="39" spans="1:20" x14ac:dyDescent="0.15">
      <c r="A39" s="20" t="s">
        <v>0</v>
      </c>
      <c r="B39" s="20" t="s">
        <v>95</v>
      </c>
      <c r="C39" s="20" t="s">
        <v>3</v>
      </c>
      <c r="D39" s="20" t="s">
        <v>5</v>
      </c>
      <c r="E39" s="20" t="s">
        <v>71</v>
      </c>
      <c r="F39" s="20" t="s">
        <v>84</v>
      </c>
      <c r="G39" s="20" t="s">
        <v>7</v>
      </c>
      <c r="H39" s="20" t="s">
        <v>92</v>
      </c>
      <c r="I39" s="20" t="s">
        <v>99</v>
      </c>
      <c r="J39" s="22">
        <f>IRR(H40:H49)</f>
        <v>0.21614438996241936</v>
      </c>
      <c r="K39" s="20" t="s">
        <v>113</v>
      </c>
      <c r="N39" s="20" t="s">
        <v>74</v>
      </c>
      <c r="O39" s="20" t="s">
        <v>105</v>
      </c>
      <c r="P39" s="20" t="s">
        <v>107</v>
      </c>
      <c r="Q39" s="20" t="s">
        <v>108</v>
      </c>
      <c r="R39" s="20" t="s">
        <v>76</v>
      </c>
      <c r="S39" s="20" t="s">
        <v>78</v>
      </c>
      <c r="T39" s="20" t="s">
        <v>104</v>
      </c>
    </row>
    <row r="40" spans="1:20" x14ac:dyDescent="0.15">
      <c r="A40" s="20">
        <v>2021</v>
      </c>
      <c r="B40" s="20">
        <v>1820000</v>
      </c>
      <c r="C40" s="20">
        <f>部分计算!L4*部分计算!$W$3+部分计算!M4*部分计算!$W$4+部分计算!N4*部分计算!$W$7+部分计算!O4*部分计算!$W$5+部分计算!P4*部分计算!$W$6+部分计算!Q4*部分计算!$W$8+部分计算!R4*部分计算!$W$9+部分计算!S4*部分计算!$W$10</f>
        <v>1293400</v>
      </c>
      <c r="D40" s="20">
        <f>部分计算!$H$17*部分计算!L16*0.7+部分计算!$H$18*部分计算!M16+部分计算!$H$19*部分计算!N16</f>
        <v>36715.050000000047</v>
      </c>
      <c r="E40" s="20">
        <f>SUM(R40:T40)</f>
        <v>31245.489516150046</v>
      </c>
      <c r="F40" s="20">
        <f>部分计算!$Q$14*部分计算!$T$14*部分计算!$V$14*部分计算!L16*0.7</f>
        <v>173586.05286750026</v>
      </c>
      <c r="G40" s="20">
        <v>0.12</v>
      </c>
      <c r="H40" s="20">
        <f>F40-E40-D40-C40-B40</f>
        <v>-3007774.4866486499</v>
      </c>
      <c r="I40" s="20">
        <f>H40</f>
        <v>-3007774.4866486499</v>
      </c>
      <c r="J40" s="22"/>
      <c r="M40" s="20">
        <v>2021</v>
      </c>
      <c r="N40" s="20">
        <f>F40*0.13</f>
        <v>22566.186872775033</v>
      </c>
      <c r="O40" s="20">
        <f>B40*0.13</f>
        <v>236600</v>
      </c>
      <c r="P40" s="20">
        <f>C40*0.13*0.8</f>
        <v>134513.60000000001</v>
      </c>
      <c r="Q40" s="20">
        <f>D40*0.13*0.5</f>
        <v>2386.4782500000033</v>
      </c>
      <c r="R40" s="20">
        <f>IF(N40-O40-P40-Q40&gt;0,N40-O40-P40-Q40,0)</f>
        <v>0</v>
      </c>
      <c r="S40" s="20">
        <f>F40*0.06</f>
        <v>10415.163172050015</v>
      </c>
      <c r="T40" s="20">
        <f>F40*0.12</f>
        <v>20830.326344100031</v>
      </c>
    </row>
    <row r="41" spans="1:20" x14ac:dyDescent="0.15">
      <c r="A41" s="20">
        <v>2022</v>
      </c>
      <c r="B41" s="20">
        <v>0</v>
      </c>
      <c r="C41" s="20">
        <f>部分计算!L5*部分计算!$W$3+部分计算!M5*部分计算!$W$4+部分计算!N5*部分计算!$W$7+部分计算!O5*部分计算!$W$5+部分计算!P5*部分计算!$W$6+部分计算!Q5*部分计算!$W$8+部分计算!R5*部分计算!$W$9+部分计算!S5*部分计算!$W$10</f>
        <v>3723525</v>
      </c>
      <c r="D41" s="20">
        <f>部分计算!$H$17*部分计算!L17*0.7+部分计算!$H$18*部分计算!M17+部分计算!$H$19*部分计算!N17</f>
        <v>298248.78000000009</v>
      </c>
      <c r="E41" s="20">
        <f t="shared" ref="E41:E49" si="28">SUM(R41:T41)</f>
        <v>481111.86714317987</v>
      </c>
      <c r="F41" s="20">
        <f>部分计算!$Q$14*部分计算!$T$14*部分计算!$V$14*部分计算!L17*0.7</f>
        <v>2672843.7063509994</v>
      </c>
      <c r="G41" s="20">
        <v>0.12</v>
      </c>
      <c r="H41" s="20">
        <f t="shared" ref="H41:H49" si="29">F41-E41-D41-C41-B41</f>
        <v>-1830041.9407921804</v>
      </c>
      <c r="I41" s="20">
        <f>I40+H41</f>
        <v>-4837816.4274408305</v>
      </c>
      <c r="J41" s="22"/>
      <c r="M41" s="20">
        <v>2022</v>
      </c>
      <c r="N41" s="20">
        <f t="shared" ref="N41:N49" si="30">F41*0.13</f>
        <v>347469.68182562996</v>
      </c>
      <c r="O41" s="20">
        <f t="shared" ref="O41:O49" si="31">B41*0.13</f>
        <v>0</v>
      </c>
      <c r="P41" s="20">
        <f t="shared" ref="P41:P49" si="32">C41*0.13*0.8</f>
        <v>387246.60000000003</v>
      </c>
      <c r="Q41" s="20">
        <f t="shared" ref="Q41:Q49" si="33">D41*0.13*0.5</f>
        <v>19386.170700000006</v>
      </c>
      <c r="R41" s="20">
        <f t="shared" ref="R41:R49" si="34">IF(N41-O41-P41-Q41&gt;0,N41-O41-P41-Q41,0)</f>
        <v>0</v>
      </c>
      <c r="S41" s="20">
        <f t="shared" ref="S41:S49" si="35">F41*0.06</f>
        <v>160370.62238105995</v>
      </c>
      <c r="T41" s="20">
        <f t="shared" ref="T41:T49" si="36">F41*0.12</f>
        <v>320741.2447621199</v>
      </c>
    </row>
    <row r="42" spans="1:20" x14ac:dyDescent="0.15">
      <c r="A42" s="20">
        <v>2023</v>
      </c>
      <c r="B42" s="20">
        <v>0</v>
      </c>
      <c r="C42" s="20">
        <f>部分计算!L6*部分计算!$W$3+部分计算!M6*部分计算!$W$4+部分计算!N6*部分计算!$W$7+部分计算!O6*部分计算!$W$5+部分计算!P6*部分计算!$W$6+部分计算!Q6*部分计算!$W$8+部分计算!R6*部分计算!$W$9+部分计算!S6*部分计算!$W$10</f>
        <v>2112101</v>
      </c>
      <c r="D42" s="20">
        <f>部分计算!$H$17*部分计算!L18*0.7+部分计算!$H$18*部分计算!M18+部分计算!$H$19*部分计算!N18</f>
        <v>416910.72</v>
      </c>
      <c r="E42" s="20">
        <f t="shared" si="28"/>
        <v>700036.68384043965</v>
      </c>
      <c r="F42" s="20">
        <f>部分计算!$Q$14*部分计算!$T$14*部分计算!$V$14*部分计算!L18*0.7</f>
        <v>3054175.4343239991</v>
      </c>
      <c r="G42" s="20">
        <v>0.12</v>
      </c>
      <c r="H42" s="20">
        <f t="shared" si="29"/>
        <v>-174872.96951644053</v>
      </c>
      <c r="I42" s="20">
        <f>I41+H42</f>
        <v>-5012689.3969572708</v>
      </c>
      <c r="J42" s="22"/>
      <c r="M42" s="20">
        <v>2023</v>
      </c>
      <c r="N42" s="20">
        <f t="shared" si="30"/>
        <v>397042.80646211992</v>
      </c>
      <c r="O42" s="20">
        <f t="shared" si="31"/>
        <v>0</v>
      </c>
      <c r="P42" s="20">
        <f t="shared" si="32"/>
        <v>219658.50400000002</v>
      </c>
      <c r="Q42" s="20">
        <f t="shared" si="33"/>
        <v>27099.196799999998</v>
      </c>
      <c r="R42" s="20">
        <f t="shared" si="34"/>
        <v>150285.10566211989</v>
      </c>
      <c r="S42" s="20">
        <f t="shared" si="35"/>
        <v>183250.52605943993</v>
      </c>
      <c r="T42" s="20">
        <f t="shared" si="36"/>
        <v>366501.05211887986</v>
      </c>
    </row>
    <row r="43" spans="1:20" x14ac:dyDescent="0.15">
      <c r="A43" s="20">
        <v>2024</v>
      </c>
      <c r="B43" s="20">
        <v>0</v>
      </c>
      <c r="C43" s="20">
        <f>部分计算!L7*部分计算!$W$3+部分计算!M7*部分计算!$W$4+部分计算!N7*部分计算!$W$7+部分计算!O7*部分计算!$W$5+部分计算!P7*部分计算!$W$6+部分计算!Q7*部分计算!$W$8+部分计算!R7*部分计算!$W$9+部分计算!S7*部分计算!$W$10</f>
        <v>1875181</v>
      </c>
      <c r="D43" s="20">
        <f>部分计算!$H$17*部分计算!L19*0.7+部分计算!$H$18*部分计算!M19+部分计算!$H$19*部分计算!N19</f>
        <v>703426.64</v>
      </c>
      <c r="E43" s="20">
        <f t="shared" si="28"/>
        <v>1627738.1305306801</v>
      </c>
      <c r="F43" s="20">
        <f>部分计算!$Q$14*部分计算!$T$14*部分计算!$V$14*部分计算!L19*0.7</f>
        <v>6027353.8262280002</v>
      </c>
      <c r="G43" s="20">
        <v>0.12</v>
      </c>
      <c r="H43" s="20">
        <f t="shared" si="29"/>
        <v>1821008.0556973205</v>
      </c>
      <c r="I43" s="20">
        <f t="shared" ref="I43:I49" si="37">I42+H43</f>
        <v>-3191681.3412599503</v>
      </c>
      <c r="J43" s="22"/>
      <c r="M43" s="20">
        <v>2024</v>
      </c>
      <c r="N43" s="20">
        <f t="shared" si="30"/>
        <v>783555.99740964011</v>
      </c>
      <c r="O43" s="20">
        <f t="shared" si="31"/>
        <v>0</v>
      </c>
      <c r="P43" s="20">
        <f t="shared" si="32"/>
        <v>195018.82400000002</v>
      </c>
      <c r="Q43" s="20">
        <f t="shared" si="33"/>
        <v>45722.731599999999</v>
      </c>
      <c r="R43" s="20">
        <f t="shared" si="34"/>
        <v>542814.44180964003</v>
      </c>
      <c r="S43" s="20">
        <f t="shared" si="35"/>
        <v>361641.22957367997</v>
      </c>
      <c r="T43" s="20">
        <f t="shared" si="36"/>
        <v>723282.45914735994</v>
      </c>
    </row>
    <row r="44" spans="1:20" x14ac:dyDescent="0.15">
      <c r="A44" s="20">
        <v>2025</v>
      </c>
      <c r="B44" s="20">
        <v>0</v>
      </c>
      <c r="C44" s="20">
        <f>部分计算!L8*部分计算!$W$3+部分计算!M8*部分计算!$W$4+部分计算!N8*部分计算!$W$7+部分计算!O8*部分计算!$W$5+部分计算!P8*部分计算!$W$6+部分计算!Q8*部分计算!$W$8+部分计算!R8*部分计算!$W$9+部分计算!S8*部分计算!$W$10</f>
        <v>1106364</v>
      </c>
      <c r="D44" s="20">
        <f>部分计算!$H$17*部分计算!L20*0.7+部分计算!$H$18*部分计算!M20+部分计算!$H$19*部分计算!N20</f>
        <v>911451.13000000012</v>
      </c>
      <c r="E44" s="20">
        <f t="shared" si="28"/>
        <v>1685521.7899865354</v>
      </c>
      <c r="F44" s="20">
        <f>部分计算!$Q$14*部分计算!$T$14*部分计算!$V$14*部分计算!L20*0.7</f>
        <v>5999445.0626985012</v>
      </c>
      <c r="G44" s="20">
        <v>0.12</v>
      </c>
      <c r="H44" s="20">
        <f t="shared" si="29"/>
        <v>2296108.1427119663</v>
      </c>
      <c r="I44" s="20">
        <f t="shared" si="37"/>
        <v>-895573.19854798401</v>
      </c>
      <c r="J44" s="22"/>
      <c r="M44" s="20">
        <v>2025</v>
      </c>
      <c r="N44" s="20">
        <f t="shared" si="30"/>
        <v>779927.85815080523</v>
      </c>
      <c r="O44" s="20">
        <f t="shared" si="31"/>
        <v>0</v>
      </c>
      <c r="P44" s="20">
        <f t="shared" si="32"/>
        <v>115061.85600000001</v>
      </c>
      <c r="Q44" s="20">
        <f t="shared" si="33"/>
        <v>59244.323450000011</v>
      </c>
      <c r="R44" s="20">
        <f t="shared" si="34"/>
        <v>605621.67870080518</v>
      </c>
      <c r="S44" s="20">
        <f t="shared" si="35"/>
        <v>359966.70376191003</v>
      </c>
      <c r="T44" s="20">
        <f t="shared" si="36"/>
        <v>719933.40752382006</v>
      </c>
    </row>
    <row r="45" spans="1:20" x14ac:dyDescent="0.15">
      <c r="A45" s="20">
        <v>2026</v>
      </c>
      <c r="B45" s="20">
        <v>0</v>
      </c>
      <c r="C45" s="20">
        <v>0</v>
      </c>
      <c r="D45" s="20">
        <f>部分计算!$H$17*部分计算!L21*0.7+部分计算!$H$18*部分计算!M21+部分计算!$H$19*部分计算!N21</f>
        <v>927126.39</v>
      </c>
      <c r="E45" s="20">
        <f t="shared" si="28"/>
        <v>1699092.0315101545</v>
      </c>
      <c r="F45" s="20">
        <f>部分计算!$Q$14*部分计算!$T$14*部分计算!$V$14*部分计算!L21*0.7</f>
        <v>5675339.5060004983</v>
      </c>
      <c r="G45" s="20">
        <v>0.12</v>
      </c>
      <c r="H45" s="20">
        <f t="shared" si="29"/>
        <v>3049121.0844903435</v>
      </c>
      <c r="I45" s="20">
        <f t="shared" si="37"/>
        <v>2153547.8859423595</v>
      </c>
      <c r="J45" s="22"/>
      <c r="M45" s="20">
        <v>2026</v>
      </c>
      <c r="N45" s="20">
        <f t="shared" si="30"/>
        <v>737794.13578006485</v>
      </c>
      <c r="O45" s="20">
        <f t="shared" si="31"/>
        <v>0</v>
      </c>
      <c r="P45" s="20">
        <f t="shared" si="32"/>
        <v>0</v>
      </c>
      <c r="Q45" s="20">
        <f t="shared" si="33"/>
        <v>60263.215350000006</v>
      </c>
      <c r="R45" s="20">
        <f t="shared" si="34"/>
        <v>677530.9204300649</v>
      </c>
      <c r="S45" s="20">
        <f t="shared" si="35"/>
        <v>340520.37036002986</v>
      </c>
      <c r="T45" s="20">
        <f t="shared" si="36"/>
        <v>681040.74072005972</v>
      </c>
    </row>
    <row r="46" spans="1:20" x14ac:dyDescent="0.15">
      <c r="A46" s="20">
        <v>2027</v>
      </c>
      <c r="B46" s="20">
        <v>0</v>
      </c>
      <c r="C46" s="20">
        <v>0</v>
      </c>
      <c r="D46" s="20">
        <f>部分计算!$H$17*部分计算!L22*0.7+部分计算!$H$18*部分计算!M22+部分计算!$H$19*部分计算!N22</f>
        <v>833458.22000000009</v>
      </c>
      <c r="E46" s="20">
        <f t="shared" si="28"/>
        <v>1386522.5438999902</v>
      </c>
      <c r="F46" s="20">
        <f>部分计算!$Q$14*部分计算!$T$14*部分计算!$V$14*部分计算!L22*0.7</f>
        <v>4647410.7361290008</v>
      </c>
      <c r="G46" s="20">
        <v>0.12</v>
      </c>
      <c r="H46" s="20">
        <f t="shared" si="29"/>
        <v>2427429.9722290104</v>
      </c>
      <c r="I46" s="20">
        <f t="shared" si="37"/>
        <v>4580977.8581713699</v>
      </c>
      <c r="J46" s="22"/>
      <c r="M46" s="20">
        <v>2027</v>
      </c>
      <c r="N46" s="20">
        <f t="shared" si="30"/>
        <v>604163.39569677017</v>
      </c>
      <c r="O46" s="20">
        <f t="shared" si="31"/>
        <v>0</v>
      </c>
      <c r="P46" s="20">
        <f t="shared" si="32"/>
        <v>0</v>
      </c>
      <c r="Q46" s="20">
        <f t="shared" si="33"/>
        <v>54174.784300000007</v>
      </c>
      <c r="R46" s="20">
        <f t="shared" si="34"/>
        <v>549988.61139677011</v>
      </c>
      <c r="S46" s="20">
        <f t="shared" si="35"/>
        <v>278844.64416774001</v>
      </c>
      <c r="T46" s="20">
        <f t="shared" si="36"/>
        <v>557689.28833548003</v>
      </c>
    </row>
    <row r="47" spans="1:20" x14ac:dyDescent="0.15">
      <c r="A47" s="20">
        <v>2028</v>
      </c>
      <c r="B47" s="20">
        <v>0</v>
      </c>
      <c r="C47" s="20">
        <v>0</v>
      </c>
      <c r="D47" s="20">
        <f>部分计算!$H$17*部分计算!L23*0.7+部分计算!$H$18*部分计算!M23+部分计算!$H$19*部分计算!N23</f>
        <v>694588.8</v>
      </c>
      <c r="E47" s="20">
        <f t="shared" si="28"/>
        <v>953938.50754889997</v>
      </c>
      <c r="F47" s="20">
        <f>部分计算!$Q$14*部分计算!$T$14*部分计算!$V$14*部分计算!L23*0.7</f>
        <v>3222860.57919</v>
      </c>
      <c r="G47" s="20">
        <v>0.12</v>
      </c>
      <c r="H47" s="20">
        <f t="shared" si="29"/>
        <v>1574333.2716411001</v>
      </c>
      <c r="I47" s="20">
        <f t="shared" si="37"/>
        <v>6155311.1298124697</v>
      </c>
      <c r="J47" s="22"/>
      <c r="M47" s="20">
        <v>2028</v>
      </c>
      <c r="N47" s="20">
        <f t="shared" si="30"/>
        <v>418971.87529470003</v>
      </c>
      <c r="O47" s="20">
        <f t="shared" si="31"/>
        <v>0</v>
      </c>
      <c r="P47" s="20">
        <f t="shared" si="32"/>
        <v>0</v>
      </c>
      <c r="Q47" s="20">
        <f t="shared" si="33"/>
        <v>45148.272000000004</v>
      </c>
      <c r="R47" s="20">
        <f t="shared" si="34"/>
        <v>373823.60329470003</v>
      </c>
      <c r="S47" s="20">
        <f t="shared" si="35"/>
        <v>193371.63475139998</v>
      </c>
      <c r="T47" s="20">
        <f t="shared" si="36"/>
        <v>386743.26950279996</v>
      </c>
    </row>
    <row r="48" spans="1:20" x14ac:dyDescent="0.15">
      <c r="A48" s="20">
        <v>2029</v>
      </c>
      <c r="B48" s="20">
        <v>0</v>
      </c>
      <c r="C48" s="20">
        <v>0</v>
      </c>
      <c r="D48" s="20">
        <f>部分计算!$H$17*部分计算!L24*0.7+部分计算!$H$18*部分计算!M24+部分计算!$H$19*部分计算!N24</f>
        <v>580984.30499999993</v>
      </c>
      <c r="E48" s="20">
        <f t="shared" si="28"/>
        <v>599247.09144984744</v>
      </c>
      <c r="F48" s="20">
        <f>部分计算!$Q$14*部分计算!$T$14*部分计算!$V$14*部分计算!L24*0.7</f>
        <v>2054874.4234672498</v>
      </c>
      <c r="G48" s="20">
        <v>0.12</v>
      </c>
      <c r="H48" s="20">
        <f t="shared" si="29"/>
        <v>874643.02701740246</v>
      </c>
      <c r="I48" s="20">
        <f t="shared" si="37"/>
        <v>7029954.1568298722</v>
      </c>
      <c r="J48" s="22"/>
      <c r="M48" s="20">
        <v>2029</v>
      </c>
      <c r="N48" s="20">
        <f t="shared" si="30"/>
        <v>267133.67505074252</v>
      </c>
      <c r="O48" s="20">
        <f t="shared" si="31"/>
        <v>0</v>
      </c>
      <c r="P48" s="20">
        <f t="shared" si="32"/>
        <v>0</v>
      </c>
      <c r="Q48" s="20">
        <f t="shared" si="33"/>
        <v>37763.979824999995</v>
      </c>
      <c r="R48" s="20">
        <f t="shared" si="34"/>
        <v>229369.69522574253</v>
      </c>
      <c r="S48" s="20">
        <f t="shared" si="35"/>
        <v>123292.46540803499</v>
      </c>
      <c r="T48" s="20">
        <f t="shared" si="36"/>
        <v>246584.93081606997</v>
      </c>
    </row>
    <row r="49" spans="1:20" x14ac:dyDescent="0.15">
      <c r="A49" s="20">
        <v>2030</v>
      </c>
      <c r="B49" s="20">
        <v>0</v>
      </c>
      <c r="C49" s="20">
        <v>0</v>
      </c>
      <c r="D49" s="20">
        <f>部分计算!$H$17*部分计算!L25*0.7+部分计算!$H$18*部分计算!M25+部分计算!$H$19*部分计算!N25</f>
        <v>546258.56000000006</v>
      </c>
      <c r="E49" s="20">
        <f t="shared" si="28"/>
        <v>427519.24287991982</v>
      </c>
      <c r="F49" s="20">
        <f>部分计算!$Q$14*部分计算!$T$14*部分计算!$V$14*部分计算!L25*0.7</f>
        <v>1493632.4170319994</v>
      </c>
      <c r="G49" s="20">
        <v>0.12</v>
      </c>
      <c r="H49" s="20">
        <f t="shared" si="29"/>
        <v>519854.61415207945</v>
      </c>
      <c r="I49" s="20">
        <f t="shared" si="37"/>
        <v>7549808.7709819516</v>
      </c>
      <c r="J49" s="21"/>
      <c r="M49" s="20">
        <v>2030</v>
      </c>
      <c r="N49" s="20">
        <f t="shared" si="30"/>
        <v>194172.21421415993</v>
      </c>
      <c r="O49" s="20">
        <f t="shared" si="31"/>
        <v>0</v>
      </c>
      <c r="P49" s="20">
        <f t="shared" si="32"/>
        <v>0</v>
      </c>
      <c r="Q49" s="20">
        <f t="shared" si="33"/>
        <v>35506.806400000001</v>
      </c>
      <c r="R49" s="20">
        <f t="shared" si="34"/>
        <v>158665.40781415993</v>
      </c>
      <c r="S49" s="20">
        <f t="shared" si="35"/>
        <v>89617.945021919964</v>
      </c>
      <c r="T49" s="20">
        <f t="shared" si="36"/>
        <v>179235.89004383993</v>
      </c>
    </row>
    <row r="51" spans="1:20" x14ac:dyDescent="0.15">
      <c r="A51" s="20" t="s">
        <v>0</v>
      </c>
      <c r="B51" s="20" t="s">
        <v>95</v>
      </c>
      <c r="C51" s="20" t="s">
        <v>3</v>
      </c>
      <c r="D51" s="20" t="s">
        <v>5</v>
      </c>
      <c r="E51" s="20" t="s">
        <v>71</v>
      </c>
      <c r="F51" s="20" t="s">
        <v>84</v>
      </c>
      <c r="G51" s="20" t="s">
        <v>7</v>
      </c>
      <c r="H51" s="20" t="s">
        <v>92</v>
      </c>
      <c r="I51" s="20" t="s">
        <v>99</v>
      </c>
      <c r="J51" s="22">
        <f>IRR(H52:H61)</f>
        <v>0.1218665448164109</v>
      </c>
      <c r="K51" s="20" t="s">
        <v>114</v>
      </c>
      <c r="N51" s="20" t="s">
        <v>74</v>
      </c>
      <c r="O51" s="20" t="s">
        <v>105</v>
      </c>
      <c r="P51" s="20" t="s">
        <v>107</v>
      </c>
      <c r="Q51" s="20" t="s">
        <v>108</v>
      </c>
      <c r="R51" s="20" t="s">
        <v>76</v>
      </c>
      <c r="S51" s="20" t="s">
        <v>78</v>
      </c>
      <c r="T51" s="20" t="s">
        <v>104</v>
      </c>
    </row>
    <row r="52" spans="1:20" x14ac:dyDescent="0.15">
      <c r="A52" s="20">
        <v>2021</v>
      </c>
      <c r="B52" s="20">
        <v>1820000</v>
      </c>
      <c r="C52" s="20">
        <f>部分计算!L4*部分计算!$W$3+部分计算!M4*部分计算!$W$4+部分计算!N4*部分计算!$W$7+部分计算!O4*部分计算!$W$5+部分计算!P4*部分计算!$W$6+部分计算!Q4*部分计算!$W$8+部分计算!R4*部分计算!$W$9+部分计算!S4*部分计算!$W$10</f>
        <v>1293400</v>
      </c>
      <c r="D52" s="20">
        <f>部分计算!$H$17*部分计算!L16*0.6+部分计算!$H$18*部分计算!M16+部分计算!$H$19*部分计算!N16</f>
        <v>36537.600000000049</v>
      </c>
      <c r="E52" s="20">
        <f>SUM(R52:T52)</f>
        <v>26781.848156700038</v>
      </c>
      <c r="F52" s="20">
        <f>部分计算!$Q$14*部分计算!$T$14*部分计算!$V$14*部分计算!L16*0.6</f>
        <v>148788.04531500023</v>
      </c>
      <c r="G52" s="20">
        <v>0.12</v>
      </c>
      <c r="H52" s="20">
        <f>F52-E52-D52-C52-B52</f>
        <v>-3027931.4028416998</v>
      </c>
      <c r="I52" s="20">
        <f>H52</f>
        <v>-3027931.4028416998</v>
      </c>
      <c r="J52" s="22"/>
      <c r="M52" s="20">
        <v>2021</v>
      </c>
      <c r="N52" s="20">
        <f>F52*0.13</f>
        <v>19342.445890950032</v>
      </c>
      <c r="O52" s="20">
        <f>B52*0.13</f>
        <v>236600</v>
      </c>
      <c r="P52" s="20">
        <f>C52*0.13*0.8</f>
        <v>134513.60000000001</v>
      </c>
      <c r="Q52" s="20">
        <f>D52*0.13*0.5</f>
        <v>2374.9440000000031</v>
      </c>
      <c r="R52" s="20">
        <f>IF(N52-O52-P52-Q52&gt;0,N52-O52-P52-Q52,0)</f>
        <v>0</v>
      </c>
      <c r="S52" s="20">
        <f>F52*0.06</f>
        <v>8927.2827189000127</v>
      </c>
      <c r="T52" s="20">
        <f>F52*0.12</f>
        <v>17854.565437800025</v>
      </c>
    </row>
    <row r="53" spans="1:20" x14ac:dyDescent="0.15">
      <c r="A53" s="20">
        <v>2022</v>
      </c>
      <c r="B53" s="20">
        <v>0</v>
      </c>
      <c r="C53" s="20">
        <f>部分计算!L5*部分计算!$W$3+部分计算!M5*部分计算!$W$4+部分计算!N5*部分计算!$W$7+部分计算!O5*部分计算!$W$5+部分计算!P5*部分计算!$W$6+部分计算!Q5*部分计算!$W$8+部分计算!R5*部分计算!$W$9+部分计算!S5*部分计算!$W$10</f>
        <v>3723525</v>
      </c>
      <c r="D53" s="20">
        <f>部分计算!$H$17*部分计算!L17*0.6+部分计算!$H$18*部分计算!M17+部分计算!$H$19*部分计算!N17</f>
        <v>295516.44000000006</v>
      </c>
      <c r="E53" s="20">
        <f t="shared" ref="E53:E61" si="38">SUM(R53:T53)</f>
        <v>412381.60040843987</v>
      </c>
      <c r="F53" s="20">
        <f>部分计算!$Q$14*部分计算!$T$14*部分计算!$V$14*部分计算!L17*0.6</f>
        <v>2291008.8911579996</v>
      </c>
      <c r="G53" s="20">
        <v>0.12</v>
      </c>
      <c r="H53" s="20">
        <f t="shared" ref="H53:H61" si="39">F53-E53-D53-C53-B53</f>
        <v>-2140414.1492504403</v>
      </c>
      <c r="I53" s="20">
        <f>I52+H53</f>
        <v>-5168345.5520921405</v>
      </c>
      <c r="J53" s="22"/>
      <c r="M53" s="20">
        <v>2022</v>
      </c>
      <c r="N53" s="20">
        <f t="shared" ref="N53:N61" si="40">F53*0.13</f>
        <v>297831.15585053997</v>
      </c>
      <c r="O53" s="20">
        <f t="shared" ref="O53:O61" si="41">B53*0.13</f>
        <v>0</v>
      </c>
      <c r="P53" s="20">
        <f t="shared" ref="P53:P61" si="42">C53*0.13*0.8</f>
        <v>387246.60000000003</v>
      </c>
      <c r="Q53" s="20">
        <f t="shared" ref="Q53:Q61" si="43">D53*0.13*0.5</f>
        <v>19208.568600000006</v>
      </c>
      <c r="R53" s="20">
        <f t="shared" ref="R53:R61" si="44">IF(N53-O53-P53-Q53&gt;0,N53-O53-P53-Q53,0)</f>
        <v>0</v>
      </c>
      <c r="S53" s="20">
        <f t="shared" ref="S53:S61" si="45">F53*0.06</f>
        <v>137460.53346947997</v>
      </c>
      <c r="T53" s="20">
        <f t="shared" ref="T53:T61" si="46">F53*0.12</f>
        <v>274921.06693895994</v>
      </c>
    </row>
    <row r="54" spans="1:20" x14ac:dyDescent="0.15">
      <c r="A54" s="20">
        <v>2023</v>
      </c>
      <c r="B54" s="20">
        <v>0</v>
      </c>
      <c r="C54" s="20">
        <f>部分计算!L6*部分计算!$W$3+部分计算!M6*部分计算!$W$4+部分计算!N6*部分计算!$W$7+部分计算!O6*部分计算!$W$5+部分计算!P6*部分计算!$W$6+部分计算!Q6*部分计算!$W$8+部分计算!R6*部分计算!$W$9+部分计算!S6*部分计算!$W$10</f>
        <v>2112101</v>
      </c>
      <c r="D54" s="20">
        <f>部分计算!$H$17*部分计算!L18*0.6+部分计算!$H$18*部分计算!M18+部分计算!$H$19*部分计算!N18</f>
        <v>413788.55999999994</v>
      </c>
      <c r="E54" s="20">
        <f t="shared" si="38"/>
        <v>564983.2835775197</v>
      </c>
      <c r="F54" s="20">
        <f>部分计算!$Q$14*部分计算!$T$14*部分计算!$V$14*部分计算!L18*0.6</f>
        <v>2617864.6579919993</v>
      </c>
      <c r="G54" s="20">
        <v>0.12</v>
      </c>
      <c r="H54" s="20">
        <f t="shared" si="39"/>
        <v>-473008.18558552023</v>
      </c>
      <c r="I54" s="20">
        <f>I53+H54</f>
        <v>-5641353.7376776608</v>
      </c>
      <c r="J54" s="22"/>
      <c r="M54" s="20">
        <v>2023</v>
      </c>
      <c r="N54" s="20">
        <f t="shared" si="40"/>
        <v>340322.40553895989</v>
      </c>
      <c r="O54" s="20">
        <f t="shared" si="41"/>
        <v>0</v>
      </c>
      <c r="P54" s="20">
        <f t="shared" si="42"/>
        <v>219658.50400000002</v>
      </c>
      <c r="Q54" s="20">
        <f t="shared" si="43"/>
        <v>26896.256399999998</v>
      </c>
      <c r="R54" s="20">
        <f t="shared" si="44"/>
        <v>93767.645138959881</v>
      </c>
      <c r="S54" s="20">
        <f t="shared" si="45"/>
        <v>157071.87947951996</v>
      </c>
      <c r="T54" s="20">
        <f t="shared" si="46"/>
        <v>314143.75895903993</v>
      </c>
    </row>
    <row r="55" spans="1:20" x14ac:dyDescent="0.15">
      <c r="A55" s="20">
        <v>2024</v>
      </c>
      <c r="B55" s="20">
        <v>0</v>
      </c>
      <c r="C55" s="20">
        <f>部分计算!L7*部分计算!$W$3+部分计算!M7*部分计算!$W$4+部分计算!N7*部分计算!$W$7+部分计算!O7*部分计算!$W$5+部分计算!P7*部分计算!$W$6+部分计算!Q7*部分计算!$W$8+部分计算!R7*部分计算!$W$9+部分计算!S7*部分计算!$W$10</f>
        <v>1875181</v>
      </c>
      <c r="D55" s="20">
        <f>部分计算!$H$17*部分计算!L19*0.6+部分计算!$H$18*部分计算!M19+部分计算!$H$19*部分计算!N19</f>
        <v>697265.12</v>
      </c>
      <c r="E55" s="20">
        <f t="shared" si="38"/>
        <v>1361212.9598834401</v>
      </c>
      <c r="F55" s="20">
        <f>部分计算!$Q$14*部分计算!$T$14*部分计算!$V$14*部分计算!L19*0.6</f>
        <v>5166303.2796240002</v>
      </c>
      <c r="G55" s="20">
        <v>0.12</v>
      </c>
      <c r="H55" s="20">
        <f t="shared" si="39"/>
        <v>1232644.1997405598</v>
      </c>
      <c r="I55" s="20">
        <f t="shared" ref="I55:I61" si="47">I54+H55</f>
        <v>-4408709.537937101</v>
      </c>
      <c r="J55" s="22"/>
      <c r="M55" s="20">
        <v>2024</v>
      </c>
      <c r="N55" s="20">
        <f t="shared" si="40"/>
        <v>671619.42635112</v>
      </c>
      <c r="O55" s="20">
        <f t="shared" si="41"/>
        <v>0</v>
      </c>
      <c r="P55" s="20">
        <f t="shared" si="42"/>
        <v>195018.82400000002</v>
      </c>
      <c r="Q55" s="20">
        <f t="shared" si="43"/>
        <v>45322.232799999998</v>
      </c>
      <c r="R55" s="20">
        <f t="shared" si="44"/>
        <v>431278.36955111998</v>
      </c>
      <c r="S55" s="20">
        <f t="shared" si="45"/>
        <v>309978.19677744003</v>
      </c>
      <c r="T55" s="20">
        <f t="shared" si="46"/>
        <v>619956.39355488005</v>
      </c>
    </row>
    <row r="56" spans="1:20" x14ac:dyDescent="0.15">
      <c r="A56" s="20">
        <v>2025</v>
      </c>
      <c r="B56" s="20">
        <v>0</v>
      </c>
      <c r="C56" s="20">
        <f>部分计算!L8*部分计算!$W$3+部分计算!M8*部分计算!$W$4+部分计算!N8*部分计算!$W$7+部分计算!O8*部分计算!$W$5+部分计算!P8*部分计算!$W$6+部分计算!Q8*部分计算!$W$8+部分计算!R8*部分计算!$W$9+部分计算!S8*部分计算!$W$10</f>
        <v>1106364</v>
      </c>
      <c r="D56" s="20">
        <f>部分计算!$H$17*部分计算!L20*0.6+部分计算!$H$18*部分计算!M20+部分计算!$H$19*部分计算!N20</f>
        <v>905318.14000000013</v>
      </c>
      <c r="E56" s="20">
        <f t="shared" si="38"/>
        <v>1420230.7244170301</v>
      </c>
      <c r="F56" s="20">
        <f>部分计算!$Q$14*部分计算!$T$14*部分计算!$V$14*部分计算!L20*0.6</f>
        <v>5142381.4823130006</v>
      </c>
      <c r="G56" s="20">
        <v>0.12</v>
      </c>
      <c r="H56" s="20">
        <f t="shared" si="39"/>
        <v>1710468.6178959706</v>
      </c>
      <c r="I56" s="20">
        <f t="shared" si="47"/>
        <v>-2698240.9200411304</v>
      </c>
      <c r="J56" s="22"/>
      <c r="M56" s="20">
        <v>2025</v>
      </c>
      <c r="N56" s="20">
        <f t="shared" si="40"/>
        <v>668509.59270069015</v>
      </c>
      <c r="O56" s="20">
        <f t="shared" si="41"/>
        <v>0</v>
      </c>
      <c r="P56" s="20">
        <f t="shared" si="42"/>
        <v>115061.85600000001</v>
      </c>
      <c r="Q56" s="20">
        <f t="shared" si="43"/>
        <v>58845.679100000008</v>
      </c>
      <c r="R56" s="20">
        <f t="shared" si="44"/>
        <v>494602.05760069011</v>
      </c>
      <c r="S56" s="20">
        <f t="shared" si="45"/>
        <v>308542.88893878</v>
      </c>
      <c r="T56" s="20">
        <f t="shared" si="46"/>
        <v>617085.77787756</v>
      </c>
    </row>
    <row r="57" spans="1:20" x14ac:dyDescent="0.15">
      <c r="A57" s="20">
        <v>2026</v>
      </c>
      <c r="B57" s="20">
        <v>0</v>
      </c>
      <c r="C57" s="20">
        <v>0</v>
      </c>
      <c r="D57" s="20">
        <f>部分计算!$H$17*部分计算!L21*0.6+部分计算!$H$18*部分计算!M21+部分计算!$H$19*部分计算!N21</f>
        <v>921324.72</v>
      </c>
      <c r="E57" s="20">
        <f t="shared" si="38"/>
        <v>1448132.6762229896</v>
      </c>
      <c r="F57" s="20">
        <f>部分计算!$Q$14*部分计算!$T$14*部分计算!$V$14*部分计算!L21*0.6</f>
        <v>4864576.7194289984</v>
      </c>
      <c r="G57" s="20">
        <v>0.12</v>
      </c>
      <c r="H57" s="20">
        <f t="shared" si="39"/>
        <v>2495119.3232060093</v>
      </c>
      <c r="I57" s="20">
        <f t="shared" si="47"/>
        <v>-203121.59683512105</v>
      </c>
      <c r="J57" s="22"/>
      <c r="M57" s="20">
        <v>2026</v>
      </c>
      <c r="N57" s="20">
        <f t="shared" si="40"/>
        <v>632394.97352576978</v>
      </c>
      <c r="O57" s="20">
        <f t="shared" si="41"/>
        <v>0</v>
      </c>
      <c r="P57" s="20">
        <f t="shared" si="42"/>
        <v>0</v>
      </c>
      <c r="Q57" s="20">
        <f t="shared" si="43"/>
        <v>59886.106800000001</v>
      </c>
      <c r="R57" s="20">
        <f t="shared" si="44"/>
        <v>572508.86672576983</v>
      </c>
      <c r="S57" s="20">
        <f t="shared" si="45"/>
        <v>291874.60316573991</v>
      </c>
      <c r="T57" s="20">
        <f t="shared" si="46"/>
        <v>583749.20633147983</v>
      </c>
    </row>
    <row r="58" spans="1:20" x14ac:dyDescent="0.15">
      <c r="A58" s="20">
        <v>2027</v>
      </c>
      <c r="B58" s="20">
        <v>0</v>
      </c>
      <c r="C58" s="20">
        <v>0</v>
      </c>
      <c r="D58" s="20">
        <f>部分计算!$H$17*部分计算!L22*0.6+部分计算!$H$18*部分计算!M22+部分计算!$H$19*部分计算!N22</f>
        <v>828707.3600000001</v>
      </c>
      <c r="E58" s="20">
        <f t="shared" si="38"/>
        <v>1181017.4457714204</v>
      </c>
      <c r="F58" s="20">
        <f>部分计算!$Q$14*部分计算!$T$14*部分计算!$V$14*部分计算!L22*0.6</f>
        <v>3983494.9166820007</v>
      </c>
      <c r="G58" s="20">
        <v>0.12</v>
      </c>
      <c r="H58" s="20">
        <f t="shared" si="39"/>
        <v>1973770.1109105803</v>
      </c>
      <c r="I58" s="20">
        <f t="shared" si="47"/>
        <v>1770648.5140754592</v>
      </c>
      <c r="J58" s="22"/>
      <c r="M58" s="20">
        <v>2027</v>
      </c>
      <c r="N58" s="20">
        <f t="shared" si="40"/>
        <v>517854.33916866011</v>
      </c>
      <c r="O58" s="20">
        <f t="shared" si="41"/>
        <v>0</v>
      </c>
      <c r="P58" s="20">
        <f t="shared" si="42"/>
        <v>0</v>
      </c>
      <c r="Q58" s="20">
        <f t="shared" si="43"/>
        <v>53865.978400000007</v>
      </c>
      <c r="R58" s="20">
        <f t="shared" si="44"/>
        <v>463988.36076866009</v>
      </c>
      <c r="S58" s="20">
        <f t="shared" si="45"/>
        <v>239009.69500092004</v>
      </c>
      <c r="T58" s="20">
        <f t="shared" si="46"/>
        <v>478019.39000184007</v>
      </c>
    </row>
    <row r="59" spans="1:20" x14ac:dyDescent="0.15">
      <c r="A59" s="20">
        <v>2028</v>
      </c>
      <c r="B59" s="20">
        <v>0</v>
      </c>
      <c r="C59" s="20">
        <v>0</v>
      </c>
      <c r="D59" s="20">
        <f>部分计算!$H$17*部分计算!L23*0.6+部分计算!$H$18*部分计算!M23+部分计算!$H$19*部分计算!N23</f>
        <v>691294.2</v>
      </c>
      <c r="E59" s="20">
        <f t="shared" si="38"/>
        <v>811425.97375619994</v>
      </c>
      <c r="F59" s="20">
        <f>部分计算!$Q$14*部分计算!$T$14*部分计算!$V$14*部分计算!L23*0.6</f>
        <v>2762451.92502</v>
      </c>
      <c r="G59" s="20">
        <v>0.12</v>
      </c>
      <c r="H59" s="20">
        <f t="shared" si="39"/>
        <v>1259731.7512638001</v>
      </c>
      <c r="I59" s="20">
        <f t="shared" si="47"/>
        <v>3030380.2653392591</v>
      </c>
      <c r="J59" s="22"/>
      <c r="M59" s="20">
        <v>2028</v>
      </c>
      <c r="N59" s="20">
        <f t="shared" si="40"/>
        <v>359118.7502526</v>
      </c>
      <c r="O59" s="20">
        <f t="shared" si="41"/>
        <v>0</v>
      </c>
      <c r="P59" s="20">
        <f t="shared" si="42"/>
        <v>0</v>
      </c>
      <c r="Q59" s="20">
        <f t="shared" si="43"/>
        <v>44934.123</v>
      </c>
      <c r="R59" s="20">
        <f t="shared" si="44"/>
        <v>314184.62725259998</v>
      </c>
      <c r="S59" s="20">
        <f t="shared" si="45"/>
        <v>165747.11550119999</v>
      </c>
      <c r="T59" s="20">
        <f t="shared" si="46"/>
        <v>331494.23100239999</v>
      </c>
    </row>
    <row r="60" spans="1:20" x14ac:dyDescent="0.15">
      <c r="A60" s="20">
        <v>2029</v>
      </c>
      <c r="B60" s="20">
        <v>0</v>
      </c>
      <c r="C60" s="20">
        <v>0</v>
      </c>
      <c r="D60" s="20">
        <f>部分计算!$H$17*部分计算!L24*0.6+部分计算!$H$18*部分计算!M24+部分计算!$H$19*部分计算!N24</f>
        <v>578883.68999999994</v>
      </c>
      <c r="E60" s="20">
        <f t="shared" si="38"/>
        <v>508382.04981415498</v>
      </c>
      <c r="F60" s="20">
        <f>部分计算!$Q$14*部分计算!$T$14*部分计算!$V$14*部分计算!L24*0.6</f>
        <v>1761320.9344005</v>
      </c>
      <c r="G60" s="20">
        <v>0.12</v>
      </c>
      <c r="H60" s="20">
        <f t="shared" si="39"/>
        <v>674055.19458634499</v>
      </c>
      <c r="I60" s="20">
        <f t="shared" si="47"/>
        <v>3704435.4599256041</v>
      </c>
      <c r="J60" s="22"/>
      <c r="M60" s="20">
        <v>2029</v>
      </c>
      <c r="N60" s="20">
        <f t="shared" si="40"/>
        <v>228971.72147206502</v>
      </c>
      <c r="O60" s="20">
        <f t="shared" si="41"/>
        <v>0</v>
      </c>
      <c r="P60" s="20">
        <f t="shared" si="42"/>
        <v>0</v>
      </c>
      <c r="Q60" s="20">
        <f t="shared" si="43"/>
        <v>37627.439849999995</v>
      </c>
      <c r="R60" s="20">
        <f t="shared" si="44"/>
        <v>191344.28162206503</v>
      </c>
      <c r="S60" s="20">
        <f t="shared" si="45"/>
        <v>105679.25606402999</v>
      </c>
      <c r="T60" s="20">
        <f t="shared" si="46"/>
        <v>211358.51212805999</v>
      </c>
    </row>
    <row r="61" spans="1:20" x14ac:dyDescent="0.15">
      <c r="A61" s="20">
        <v>2030</v>
      </c>
      <c r="B61" s="20">
        <v>0</v>
      </c>
      <c r="C61" s="20">
        <v>0</v>
      </c>
      <c r="D61" s="20">
        <f>部分计算!$H$17*部分计算!L25*0.6+部分计算!$H$18*部分计算!M25+部分计算!$H$19*部分计算!N25</f>
        <v>544731.68000000005</v>
      </c>
      <c r="E61" s="20">
        <f t="shared" si="38"/>
        <v>361471.91161135986</v>
      </c>
      <c r="F61" s="20">
        <f>部分计算!$Q$14*部分计算!$T$14*部分计算!$V$14*部分计算!L25*0.6</f>
        <v>1280256.3574559996</v>
      </c>
      <c r="G61" s="20">
        <v>0.12</v>
      </c>
      <c r="H61" s="20">
        <f t="shared" si="39"/>
        <v>374052.76584463974</v>
      </c>
      <c r="I61" s="20">
        <f t="shared" si="47"/>
        <v>4078488.2257702439</v>
      </c>
      <c r="J61" s="21"/>
      <c r="M61" s="20">
        <v>2030</v>
      </c>
      <c r="N61" s="20">
        <f t="shared" si="40"/>
        <v>166433.32646927994</v>
      </c>
      <c r="O61" s="20">
        <f t="shared" si="41"/>
        <v>0</v>
      </c>
      <c r="P61" s="20">
        <f t="shared" si="42"/>
        <v>0</v>
      </c>
      <c r="Q61" s="20">
        <f t="shared" si="43"/>
        <v>35407.559200000003</v>
      </c>
      <c r="R61" s="20">
        <f t="shared" si="44"/>
        <v>131025.76726927994</v>
      </c>
      <c r="S61" s="20">
        <f t="shared" si="45"/>
        <v>76815.381447359978</v>
      </c>
      <c r="T61" s="20">
        <f t="shared" si="46"/>
        <v>153630.76289471996</v>
      </c>
    </row>
    <row r="63" spans="1:20" x14ac:dyDescent="0.15">
      <c r="A63" s="20" t="s">
        <v>0</v>
      </c>
      <c r="B63" s="20" t="s">
        <v>95</v>
      </c>
      <c r="C63" s="20" t="s">
        <v>3</v>
      </c>
      <c r="D63" s="20" t="s">
        <v>5</v>
      </c>
      <c r="E63" s="20" t="s">
        <v>71</v>
      </c>
      <c r="F63" s="20" t="s">
        <v>84</v>
      </c>
      <c r="G63" s="20" t="s">
        <v>7</v>
      </c>
      <c r="H63" s="20" t="s">
        <v>92</v>
      </c>
      <c r="I63" s="20" t="s">
        <v>99</v>
      </c>
      <c r="J63" s="22">
        <f>IRR(H64:H73)</f>
        <v>1.9317983164679031E-2</v>
      </c>
      <c r="K63" s="20" t="s">
        <v>115</v>
      </c>
      <c r="N63" s="20" t="s">
        <v>74</v>
      </c>
      <c r="O63" s="20" t="s">
        <v>105</v>
      </c>
      <c r="P63" s="20" t="s">
        <v>107</v>
      </c>
      <c r="Q63" s="20" t="s">
        <v>108</v>
      </c>
      <c r="R63" s="20" t="s">
        <v>76</v>
      </c>
      <c r="S63" s="20" t="s">
        <v>78</v>
      </c>
      <c r="T63" s="20" t="s">
        <v>104</v>
      </c>
    </row>
    <row r="64" spans="1:20" x14ac:dyDescent="0.15">
      <c r="A64" s="20">
        <v>2021</v>
      </c>
      <c r="B64" s="20">
        <v>1820000</v>
      </c>
      <c r="C64" s="20">
        <f>部分计算!L4*部分计算!$W$3+部分计算!M4*部分计算!$W$4+部分计算!N4*部分计算!$W$7+部分计算!O4*部分计算!$W$5+部分计算!P4*部分计算!$W$6+部分计算!Q4*部分计算!$W$8+部分计算!R4*部分计算!$W$9+部分计算!S4*部分计算!$W$10</f>
        <v>1293400</v>
      </c>
      <c r="D64" s="20">
        <f>部分计算!$H$17*部分计算!L16*0.5+部分计算!$H$18*部分计算!M16+部分计算!$H$19*部分计算!N16</f>
        <v>36360.150000000045</v>
      </c>
      <c r="E64" s="20">
        <f>SUM(R64+S64+T64)</f>
        <v>22318.206797250037</v>
      </c>
      <c r="F64" s="20">
        <f>部分计算!$Q$14*部分计算!$T$14*部分计算!$V$14*部分计算!L16*0.5</f>
        <v>123990.0377625002</v>
      </c>
      <c r="G64" s="20">
        <v>0.12</v>
      </c>
      <c r="H64" s="20">
        <f>F64-E64-D64-C64-B64</f>
        <v>-3048088.3190347496</v>
      </c>
      <c r="I64" s="20">
        <f>H64</f>
        <v>-3048088.3190347496</v>
      </c>
      <c r="J64" s="22"/>
      <c r="M64" s="20">
        <v>2021</v>
      </c>
      <c r="N64" s="20">
        <f>F64*0.13</f>
        <v>16118.704909125026</v>
      </c>
      <c r="O64" s="20">
        <f>B64*0.13</f>
        <v>236600</v>
      </c>
      <c r="P64" s="20">
        <f>C64*0.13*0.8</f>
        <v>134513.60000000001</v>
      </c>
      <c r="Q64" s="20">
        <f>D64*0.13*0.5</f>
        <v>2363.409750000003</v>
      </c>
      <c r="R64" s="20">
        <f>IF(N64-O64-P64-Q64&gt;0,N64-O64-P64-Q64,0)</f>
        <v>0</v>
      </c>
      <c r="S64" s="20">
        <f>措施后变化!F64*0.06</f>
        <v>7439.4022657500118</v>
      </c>
      <c r="T64" s="20">
        <f>F64*0.12</f>
        <v>14878.804531500024</v>
      </c>
    </row>
    <row r="65" spans="1:20" x14ac:dyDescent="0.15">
      <c r="A65" s="20">
        <v>2022</v>
      </c>
      <c r="B65" s="20">
        <v>0</v>
      </c>
      <c r="C65" s="20">
        <f>部分计算!L5*部分计算!$W$3+部分计算!M5*部分计算!$W$4+部分计算!N5*部分计算!$W$7+部分计算!O5*部分计算!$W$5+部分计算!P5*部分计算!$W$6+部分计算!Q5*部分计算!$W$8+部分计算!R5*部分计算!$W$9+部分计算!S5*部分计算!$W$10</f>
        <v>3723525</v>
      </c>
      <c r="D65" s="20">
        <f>部分计算!$H$17*部分计算!L17*0.5+部分计算!$H$18*部分计算!M17+部分计算!$H$19*部分计算!N17</f>
        <v>292784.10000000009</v>
      </c>
      <c r="E65" s="20">
        <f t="shared" ref="E65:E73" si="48">SUM(R65+S65+T65)</f>
        <v>343651.33367369993</v>
      </c>
      <c r="F65" s="20">
        <f>部分计算!$Q$14*部分计算!$T$14*部分计算!$V$14*部分计算!L17*0.5</f>
        <v>1909174.0759649996</v>
      </c>
      <c r="G65" s="20">
        <v>0.12</v>
      </c>
      <c r="H65" s="20">
        <f t="shared" ref="H65:H73" si="49">F65-E65-D65-C65-B65</f>
        <v>-2450786.3577087005</v>
      </c>
      <c r="I65" s="20">
        <f>I64+H65</f>
        <v>-5498874.6767434496</v>
      </c>
      <c r="J65" s="22"/>
      <c r="M65" s="20">
        <v>2022</v>
      </c>
      <c r="N65" s="20">
        <f t="shared" ref="N65:N73" si="50">F65*0.13</f>
        <v>248192.62987544996</v>
      </c>
      <c r="O65" s="20">
        <f t="shared" ref="O65:O73" si="51">B65*0.13</f>
        <v>0</v>
      </c>
      <c r="P65" s="20">
        <f t="shared" ref="P65:P73" si="52">C65*0.13*0.8</f>
        <v>387246.60000000003</v>
      </c>
      <c r="Q65" s="20">
        <f t="shared" ref="Q65:Q73" si="53">D65*0.13*0.5</f>
        <v>19030.966500000006</v>
      </c>
      <c r="R65" s="20">
        <f t="shared" ref="R65:R73" si="54">IF(N65-O65-P65-Q65&gt;0,N65-O65-P65-Q65,0)</f>
        <v>0</v>
      </c>
      <c r="S65" s="20">
        <f>措施后变化!F65*0.06</f>
        <v>114550.44455789997</v>
      </c>
      <c r="T65" s="20">
        <f t="shared" ref="T65:T73" si="55">F65*0.12</f>
        <v>229100.88911579995</v>
      </c>
    </row>
    <row r="66" spans="1:20" x14ac:dyDescent="0.15">
      <c r="A66" s="20">
        <v>2023</v>
      </c>
      <c r="B66" s="20">
        <v>0</v>
      </c>
      <c r="C66" s="20">
        <f>部分计算!L6*部分计算!$W$3+部分计算!M6*部分计算!$W$4+部分计算!N6*部分计算!$W$7+部分计算!O6*部分计算!$W$5+部分计算!P6*部分计算!$W$6+部分计算!Q6*部分计算!$W$8+部分计算!R6*部分计算!$W$9+部分计算!S6*部分计算!$W$10</f>
        <v>2112101</v>
      </c>
      <c r="D66" s="20">
        <f>部分计算!$H$17*部分计算!L18*0.5+部分计算!$H$18*部分计算!M18+部分计算!$H$19*部分计算!N18</f>
        <v>410666.39999999997</v>
      </c>
      <c r="E66" s="20">
        <f t="shared" si="48"/>
        <v>429929.88331459987</v>
      </c>
      <c r="F66" s="20">
        <f>部分计算!$Q$14*部分计算!$T$14*部分计算!$V$14*部分计算!L18*0.5</f>
        <v>2181553.8816599995</v>
      </c>
      <c r="G66" s="20">
        <v>0.12</v>
      </c>
      <c r="H66" s="20">
        <f t="shared" si="49"/>
        <v>-771143.40165460017</v>
      </c>
      <c r="I66" s="20">
        <f>I65+H66</f>
        <v>-6270018.0783980498</v>
      </c>
      <c r="J66" s="22"/>
      <c r="M66" s="20">
        <v>2023</v>
      </c>
      <c r="N66" s="20">
        <f t="shared" si="50"/>
        <v>283602.00461579993</v>
      </c>
      <c r="O66" s="20">
        <f t="shared" si="51"/>
        <v>0</v>
      </c>
      <c r="P66" s="20">
        <f t="shared" si="52"/>
        <v>219658.50400000002</v>
      </c>
      <c r="Q66" s="20">
        <f t="shared" si="53"/>
        <v>26693.315999999999</v>
      </c>
      <c r="R66" s="20">
        <f t="shared" si="54"/>
        <v>37250.184615799917</v>
      </c>
      <c r="S66" s="20">
        <f>措施后变化!F66*0.06</f>
        <v>130893.23289959997</v>
      </c>
      <c r="T66" s="20">
        <f t="shared" si="55"/>
        <v>261786.46579919994</v>
      </c>
    </row>
    <row r="67" spans="1:20" x14ac:dyDescent="0.15">
      <c r="A67" s="20">
        <v>2024</v>
      </c>
      <c r="B67" s="20">
        <v>0</v>
      </c>
      <c r="C67" s="20">
        <f>部分计算!L7*部分计算!$W$3+部分计算!M7*部分计算!$W$4+部分计算!N7*部分计算!$W$7+部分计算!O7*部分计算!$W$5+部分计算!P7*部分计算!$W$6+部分计算!Q7*部分计算!$W$8+部分计算!R7*部分计算!$W$9+部分计算!S7*部分计算!$W$10</f>
        <v>1875181</v>
      </c>
      <c r="D67" s="20">
        <f>部分计算!$H$17*部分计算!L19*0.5+部分计算!$H$18*部分计算!M19+部分计算!$H$19*部分计算!N19</f>
        <v>691103.60000000009</v>
      </c>
      <c r="E67" s="20">
        <f t="shared" si="48"/>
        <v>1094687.7892362</v>
      </c>
      <c r="F67" s="20">
        <f>部分计算!$Q$14*部分计算!$T$14*部分计算!$V$14*部分计算!L19*0.5</f>
        <v>4305252.7330200002</v>
      </c>
      <c r="G67" s="20">
        <v>0.12</v>
      </c>
      <c r="H67" s="20">
        <f t="shared" si="49"/>
        <v>644280.34378380002</v>
      </c>
      <c r="I67" s="20">
        <f t="shared" ref="I67:I73" si="56">I66+H67</f>
        <v>-5625737.7346142493</v>
      </c>
      <c r="J67" s="22"/>
      <c r="M67" s="20">
        <v>2024</v>
      </c>
      <c r="N67" s="20">
        <f t="shared" si="50"/>
        <v>559682.8552926</v>
      </c>
      <c r="O67" s="20">
        <f t="shared" si="51"/>
        <v>0</v>
      </c>
      <c r="P67" s="20">
        <f t="shared" si="52"/>
        <v>195018.82400000002</v>
      </c>
      <c r="Q67" s="20">
        <f t="shared" si="53"/>
        <v>44921.734000000004</v>
      </c>
      <c r="R67" s="20">
        <f t="shared" si="54"/>
        <v>319742.29729259998</v>
      </c>
      <c r="S67" s="20">
        <f>措施后变化!F67*0.06</f>
        <v>258315.16398119999</v>
      </c>
      <c r="T67" s="20">
        <f t="shared" si="55"/>
        <v>516630.32796239998</v>
      </c>
    </row>
    <row r="68" spans="1:20" x14ac:dyDescent="0.15">
      <c r="A68" s="20">
        <v>2025</v>
      </c>
      <c r="B68" s="20">
        <v>0</v>
      </c>
      <c r="C68" s="20">
        <f>部分计算!L8*部分计算!$W$3+部分计算!M8*部分计算!$W$4+部分计算!N8*部分计算!$W$7+部分计算!O8*部分计算!$W$5+部分计算!P8*部分计算!$W$6+部分计算!Q8*部分计算!$W$8+部分计算!R8*部分计算!$W$9+部分计算!S8*部分计算!$W$10</f>
        <v>1106364</v>
      </c>
      <c r="D68" s="20">
        <f>部分计算!$H$17*部分计算!L20*0.5+部分计算!$H$18*部分计算!M20+部分计算!$H$19*部分计算!N20</f>
        <v>899185.15000000014</v>
      </c>
      <c r="E68" s="20">
        <f t="shared" si="48"/>
        <v>1154939.6588475253</v>
      </c>
      <c r="F68" s="20">
        <f>部分计算!$Q$14*部分计算!$T$14*部分计算!$V$14*部分计算!L20*0.5</f>
        <v>4285317.901927501</v>
      </c>
      <c r="G68" s="20">
        <v>0.12</v>
      </c>
      <c r="H68" s="20">
        <f t="shared" si="49"/>
        <v>1124829.0930799758</v>
      </c>
      <c r="I68" s="20">
        <f t="shared" si="56"/>
        <v>-4500908.6415342735</v>
      </c>
      <c r="J68" s="22"/>
      <c r="M68" s="20">
        <v>2025</v>
      </c>
      <c r="N68" s="20">
        <f t="shared" si="50"/>
        <v>557091.32725057518</v>
      </c>
      <c r="O68" s="20">
        <f t="shared" si="51"/>
        <v>0</v>
      </c>
      <c r="P68" s="20">
        <f t="shared" si="52"/>
        <v>115061.85600000001</v>
      </c>
      <c r="Q68" s="20">
        <f t="shared" si="53"/>
        <v>58447.034750000013</v>
      </c>
      <c r="R68" s="20">
        <f t="shared" si="54"/>
        <v>383582.43650057516</v>
      </c>
      <c r="S68" s="20">
        <f>措施后变化!F68*0.06</f>
        <v>257119.07411565006</v>
      </c>
      <c r="T68" s="20">
        <f t="shared" si="55"/>
        <v>514238.14823130012</v>
      </c>
    </row>
    <row r="69" spans="1:20" x14ac:dyDescent="0.15">
      <c r="A69" s="20">
        <v>2026</v>
      </c>
      <c r="B69" s="20">
        <v>0</v>
      </c>
      <c r="C69" s="20">
        <v>0</v>
      </c>
      <c r="D69" s="20">
        <f>部分计算!$H$17*部分计算!L21*0.5+部分计算!$H$18*部分计算!M21+部分计算!$H$19*部分计算!N21</f>
        <v>915523.05</v>
      </c>
      <c r="E69" s="20">
        <f t="shared" si="48"/>
        <v>1197173.3209358247</v>
      </c>
      <c r="F69" s="20">
        <f>部分计算!$Q$14*部分计算!$T$14*部分计算!$V$14*部分计算!L21*0.5</f>
        <v>4053813.932857499</v>
      </c>
      <c r="G69" s="20">
        <v>0.12</v>
      </c>
      <c r="H69" s="20">
        <f t="shared" si="49"/>
        <v>1941117.5619216745</v>
      </c>
      <c r="I69" s="20">
        <f t="shared" si="56"/>
        <v>-2559791.0796125988</v>
      </c>
      <c r="J69" s="22"/>
      <c r="M69" s="20">
        <v>2026</v>
      </c>
      <c r="N69" s="20">
        <f t="shared" si="50"/>
        <v>526995.81127147493</v>
      </c>
      <c r="O69" s="20">
        <f t="shared" si="51"/>
        <v>0</v>
      </c>
      <c r="P69" s="20">
        <f t="shared" si="52"/>
        <v>0</v>
      </c>
      <c r="Q69" s="20">
        <f t="shared" si="53"/>
        <v>59508.998250000004</v>
      </c>
      <c r="R69" s="20">
        <f t="shared" si="54"/>
        <v>467486.81302147493</v>
      </c>
      <c r="S69" s="20">
        <f>措施后变化!F69*0.06</f>
        <v>243228.83597144994</v>
      </c>
      <c r="T69" s="20">
        <f t="shared" si="55"/>
        <v>486457.67194289988</v>
      </c>
    </row>
    <row r="70" spans="1:20" x14ac:dyDescent="0.15">
      <c r="A70" s="20">
        <v>2027</v>
      </c>
      <c r="B70" s="20">
        <v>0</v>
      </c>
      <c r="C70" s="20">
        <v>0</v>
      </c>
      <c r="D70" s="20">
        <f>部分计算!$H$17*部分计算!L22*0.5+部分计算!$H$18*部分计算!M22+部分计算!$H$19*部分计算!N22</f>
        <v>823956.50000000012</v>
      </c>
      <c r="E70" s="20">
        <f t="shared" si="48"/>
        <v>975512.34764285013</v>
      </c>
      <c r="F70" s="20">
        <f>部分计算!$Q$14*部分计算!$T$14*部分计算!$V$14*部分计算!L22*0.5</f>
        <v>3319579.0972350007</v>
      </c>
      <c r="G70" s="20">
        <v>0.12</v>
      </c>
      <c r="H70" s="20">
        <f t="shared" si="49"/>
        <v>1520110.2495921506</v>
      </c>
      <c r="I70" s="20">
        <f t="shared" si="56"/>
        <v>-1039680.8300204482</v>
      </c>
      <c r="J70" s="22"/>
      <c r="M70" s="20">
        <v>2027</v>
      </c>
      <c r="N70" s="20">
        <f t="shared" si="50"/>
        <v>431545.28264055011</v>
      </c>
      <c r="O70" s="20">
        <f t="shared" si="51"/>
        <v>0</v>
      </c>
      <c r="P70" s="20">
        <f t="shared" si="52"/>
        <v>0</v>
      </c>
      <c r="Q70" s="20">
        <f t="shared" si="53"/>
        <v>53557.172500000008</v>
      </c>
      <c r="R70" s="20">
        <f t="shared" si="54"/>
        <v>377988.11014055012</v>
      </c>
      <c r="S70" s="20">
        <f>措施后变化!F70*0.06</f>
        <v>199174.74583410003</v>
      </c>
      <c r="T70" s="20">
        <f t="shared" si="55"/>
        <v>398349.49166820006</v>
      </c>
    </row>
    <row r="71" spans="1:20" x14ac:dyDescent="0.15">
      <c r="A71" s="20">
        <v>2028</v>
      </c>
      <c r="B71" s="20">
        <v>0</v>
      </c>
      <c r="C71" s="20">
        <v>0</v>
      </c>
      <c r="D71" s="20">
        <f>部分计算!$H$17*部分计算!L23*0.5+部分计算!$H$18*部分计算!M23+部分计算!$H$19*部分计算!N23</f>
        <v>687999.6</v>
      </c>
      <c r="E71" s="20">
        <f t="shared" si="48"/>
        <v>668913.43996350002</v>
      </c>
      <c r="F71" s="20">
        <f>部分计算!$Q$14*部分计算!$T$14*部分计算!$V$14*部分计算!L23*0.5</f>
        <v>2302043.27085</v>
      </c>
      <c r="G71" s="20">
        <v>0.12</v>
      </c>
      <c r="H71" s="20">
        <f t="shared" si="49"/>
        <v>945130.23088649998</v>
      </c>
      <c r="I71" s="20">
        <f t="shared" si="56"/>
        <v>-94550.599133948213</v>
      </c>
      <c r="J71" s="22"/>
      <c r="M71" s="20">
        <v>2028</v>
      </c>
      <c r="N71" s="20">
        <f t="shared" si="50"/>
        <v>299265.62521050003</v>
      </c>
      <c r="O71" s="20">
        <f t="shared" si="51"/>
        <v>0</v>
      </c>
      <c r="P71" s="20">
        <f t="shared" si="52"/>
        <v>0</v>
      </c>
      <c r="Q71" s="20">
        <f t="shared" si="53"/>
        <v>44719.974000000002</v>
      </c>
      <c r="R71" s="20">
        <f t="shared" si="54"/>
        <v>254545.65121050004</v>
      </c>
      <c r="S71" s="20">
        <f>措施后变化!F71*0.06</f>
        <v>138122.59625099998</v>
      </c>
      <c r="T71" s="20">
        <f t="shared" si="55"/>
        <v>276245.19250199996</v>
      </c>
    </row>
    <row r="72" spans="1:20" x14ac:dyDescent="0.15">
      <c r="A72" s="20">
        <v>2029</v>
      </c>
      <c r="B72" s="20">
        <v>0</v>
      </c>
      <c r="C72" s="20">
        <v>0</v>
      </c>
      <c r="D72" s="20">
        <f>部分计算!$H$17*部分计算!L24*0.5+部分计算!$H$18*部分计算!M24+部分计算!$H$19*部分计算!N24</f>
        <v>576783.07499999995</v>
      </c>
      <c r="E72" s="20">
        <f t="shared" si="48"/>
        <v>417517.00817846251</v>
      </c>
      <c r="F72" s="20">
        <f>部分计算!$Q$14*部分计算!$T$14*部分计算!$V$14*部分计算!L24*0.5</f>
        <v>1467767.44533375</v>
      </c>
      <c r="G72" s="20">
        <v>0.12</v>
      </c>
      <c r="H72" s="20">
        <f t="shared" si="49"/>
        <v>473467.36215528753</v>
      </c>
      <c r="I72" s="20">
        <f t="shared" si="56"/>
        <v>378916.76302133931</v>
      </c>
      <c r="J72" s="22"/>
      <c r="M72" s="20">
        <v>2029</v>
      </c>
      <c r="N72" s="20">
        <f t="shared" si="50"/>
        <v>190809.7678933875</v>
      </c>
      <c r="O72" s="20">
        <f t="shared" si="51"/>
        <v>0</v>
      </c>
      <c r="P72" s="20">
        <f t="shared" si="52"/>
        <v>0</v>
      </c>
      <c r="Q72" s="20">
        <f t="shared" si="53"/>
        <v>37490.899874999996</v>
      </c>
      <c r="R72" s="20">
        <f t="shared" si="54"/>
        <v>153318.8680183875</v>
      </c>
      <c r="S72" s="20">
        <f>措施后变化!F72*0.06</f>
        <v>88066.046720024999</v>
      </c>
      <c r="T72" s="20">
        <f t="shared" si="55"/>
        <v>176132.09344005</v>
      </c>
    </row>
    <row r="73" spans="1:20" x14ac:dyDescent="0.15">
      <c r="A73" s="20">
        <v>2030</v>
      </c>
      <c r="B73" s="20">
        <v>0</v>
      </c>
      <c r="C73" s="20">
        <v>0</v>
      </c>
      <c r="D73" s="20">
        <f>部分计算!$H$17*部分计算!L25*0.5+部分计算!$H$18*部分计算!M25+部分计算!$H$19*部分计算!N25</f>
        <v>543204.80000000005</v>
      </c>
      <c r="E73" s="20">
        <f t="shared" si="48"/>
        <v>295424.58034279995</v>
      </c>
      <c r="F73" s="20">
        <f>部分计算!$Q$14*部分计算!$T$14*部分计算!$V$14*部分计算!L25*0.5</f>
        <v>1066880.2978799997</v>
      </c>
      <c r="G73" s="20">
        <v>0.12</v>
      </c>
      <c r="H73" s="20">
        <f t="shared" si="49"/>
        <v>228250.9175371998</v>
      </c>
      <c r="I73" s="20">
        <f t="shared" si="56"/>
        <v>607167.68055853911</v>
      </c>
      <c r="J73" s="21"/>
      <c r="M73" s="20">
        <v>2030</v>
      </c>
      <c r="N73" s="20">
        <f t="shared" si="50"/>
        <v>138694.43872439998</v>
      </c>
      <c r="O73" s="20">
        <f t="shared" si="51"/>
        <v>0</v>
      </c>
      <c r="P73" s="20">
        <f t="shared" si="52"/>
        <v>0</v>
      </c>
      <c r="Q73" s="20">
        <f t="shared" si="53"/>
        <v>35308.312000000005</v>
      </c>
      <c r="R73" s="20">
        <f t="shared" si="54"/>
        <v>103386.12672439998</v>
      </c>
      <c r="S73" s="20">
        <f>措施后变化!F73*0.06</f>
        <v>64012.817872799984</v>
      </c>
      <c r="T73" s="20">
        <f t="shared" si="55"/>
        <v>128025.63574559997</v>
      </c>
    </row>
    <row r="77" spans="1:20" x14ac:dyDescent="0.15">
      <c r="A77" s="20" t="s">
        <v>1</v>
      </c>
      <c r="B77" s="20" t="s">
        <v>96</v>
      </c>
      <c r="C77" s="20" t="s">
        <v>4</v>
      </c>
      <c r="D77" s="20" t="s">
        <v>6</v>
      </c>
      <c r="E77" s="20" t="s">
        <v>72</v>
      </c>
      <c r="F77" s="20" t="s">
        <v>97</v>
      </c>
      <c r="G77" s="20" t="s">
        <v>8</v>
      </c>
      <c r="H77" s="20" t="s">
        <v>98</v>
      </c>
      <c r="I77" s="20" t="s">
        <v>100</v>
      </c>
      <c r="J77" s="20" t="s">
        <v>101</v>
      </c>
      <c r="K77" s="20" t="s">
        <v>110</v>
      </c>
      <c r="N77" s="20" t="s">
        <v>74</v>
      </c>
      <c r="O77" s="20" t="s">
        <v>105</v>
      </c>
      <c r="P77" s="20" t="s">
        <v>107</v>
      </c>
      <c r="Q77" s="20" t="s">
        <v>108</v>
      </c>
      <c r="R77" s="20" t="s">
        <v>76</v>
      </c>
      <c r="S77" s="20" t="s">
        <v>78</v>
      </c>
      <c r="T77" s="20" t="s">
        <v>104</v>
      </c>
    </row>
    <row r="78" spans="1:20" x14ac:dyDescent="0.15">
      <c r="A78" s="20">
        <v>2021</v>
      </c>
      <c r="B78" s="20">
        <v>1820000</v>
      </c>
      <c r="C78" s="20">
        <f>部分计算!L4*部分计算!$W$3+部分计算!M4*部分计算!$W$4+部分计算!N4*部分计算!$W$7+部分计算!O4*部分计算!$W$5+部分计算!P4*部分计算!$W$6+部分计算!Q4*部分计算!$W$8+部分计算!R4*部分计算!$W$9+部分计算!S4*部分计算!$W$10</f>
        <v>1293400</v>
      </c>
      <c r="D78" s="20">
        <f>部分计算!$H$17*部分计算!L16+部分计算!$H$18*部分计算!M16+部分计算!$H$19*部分计算!N16</f>
        <v>37247.400000000052</v>
      </c>
      <c r="E78" s="20">
        <f t="shared" ref="E78:E87" si="57">R78+S78+T78</f>
        <v>44636.413594500074</v>
      </c>
      <c r="F78" s="20">
        <f>部分计算!$Q$14*部分计算!$T$14*部分计算!$V$14*部分计算!L16</f>
        <v>247980.0755250004</v>
      </c>
      <c r="G78" s="20">
        <v>0.12</v>
      </c>
      <c r="H78" s="20">
        <f>F78-E78-D78-C78-B78</f>
        <v>-2947303.7380694998</v>
      </c>
      <c r="I78" s="20">
        <f>H78</f>
        <v>-2947303.7380694998</v>
      </c>
      <c r="J78" s="22">
        <f>IRR(H78:H87)</f>
        <v>0.47402894970021503</v>
      </c>
      <c r="K78" s="20" t="s">
        <v>116</v>
      </c>
      <c r="M78" s="20">
        <v>2021</v>
      </c>
      <c r="N78" s="20">
        <f>F78*0.13</f>
        <v>32237.409818250053</v>
      </c>
      <c r="O78" s="20">
        <f t="shared" ref="O78:O87" si="58">B78*0.13</f>
        <v>236600</v>
      </c>
      <c r="P78" s="20">
        <f t="shared" ref="P78:P87" si="59">C78*0.13*0.8</f>
        <v>134513.60000000001</v>
      </c>
      <c r="Q78" s="20">
        <f t="shared" ref="Q78:Q87" si="60">D78*0.13*0.5</f>
        <v>2421.0810000000033</v>
      </c>
      <c r="R78" s="20">
        <f>IF(N78-O78-P78-Q78&gt;0,N78-O78-P78-Q78,0)</f>
        <v>0</v>
      </c>
      <c r="S78" s="20">
        <f>措施后变化!F78*0.06</f>
        <v>14878.804531500024</v>
      </c>
      <c r="T78" s="20">
        <f t="shared" ref="T78:T87" si="61">F78*0.12</f>
        <v>29757.609063000047</v>
      </c>
    </row>
    <row r="79" spans="1:20" x14ac:dyDescent="0.15">
      <c r="A79" s="20">
        <v>2022</v>
      </c>
      <c r="B79" s="20">
        <v>0</v>
      </c>
      <c r="C79" s="20">
        <f>部分计算!L5*部分计算!$W$3+部分计算!M5*部分计算!$W$4+部分计算!N5*部分计算!$W$7+部分计算!O5*部分计算!$W$5+部分计算!P5*部分计算!$W$6+部分计算!Q5*部分计算!$W$8+部分计算!R5*部分计算!$W$9+部分计算!S5*部分计算!$W$10</f>
        <v>3723525</v>
      </c>
      <c r="D79" s="20">
        <f>部分计算!$H$17*部分计算!L17+部分计算!$H$18*部分计算!M17+部分计算!$H$19*部分计算!N17</f>
        <v>306445.80000000005</v>
      </c>
      <c r="E79" s="20">
        <f t="shared" si="57"/>
        <v>776522.35009829979</v>
      </c>
      <c r="F79" s="20">
        <f>部分计算!$Q$14*部分计算!$T$14*部分计算!$V$14*部分计算!L17</f>
        <v>3818348.1519299992</v>
      </c>
      <c r="G79" s="20">
        <v>0.12</v>
      </c>
      <c r="H79" s="20">
        <f t="shared" ref="H79:H87" si="62">F79-E79-D79-C79-B79</f>
        <v>-988144.99816830084</v>
      </c>
      <c r="I79" s="20">
        <f>I78+H79</f>
        <v>-3935448.7362378007</v>
      </c>
      <c r="J79" s="22"/>
      <c r="M79" s="20">
        <v>2022</v>
      </c>
      <c r="N79" s="20">
        <f t="shared" ref="N79:N87" si="63">F79*0.13</f>
        <v>496385.25975089992</v>
      </c>
      <c r="O79" s="20">
        <f t="shared" si="58"/>
        <v>0</v>
      </c>
      <c r="P79" s="20">
        <f t="shared" si="59"/>
        <v>387246.60000000003</v>
      </c>
      <c r="Q79" s="20">
        <f t="shared" si="60"/>
        <v>19918.977000000003</v>
      </c>
      <c r="R79" s="20">
        <f t="shared" ref="R79:R87" si="64">IF(N79-O79-P79-Q79&gt;0,N79-O79-P79-Q79,0)</f>
        <v>89219.682750899883</v>
      </c>
      <c r="S79" s="20">
        <f>措施后变化!F79*0.06</f>
        <v>229100.88911579995</v>
      </c>
      <c r="T79" s="20">
        <f t="shared" si="61"/>
        <v>458201.77823159989</v>
      </c>
    </row>
    <row r="80" spans="1:20" x14ac:dyDescent="0.15">
      <c r="A80" s="20">
        <v>2023</v>
      </c>
      <c r="B80" s="20">
        <v>0</v>
      </c>
      <c r="C80" s="20">
        <f>部分计算!L6*部分计算!$W$3+部分计算!M6*部分计算!$W$4+部分计算!N6*部分计算!$W$7+部分计算!O6*部分计算!$W$5+部分计算!P6*部分计算!$W$6+部分计算!Q6*部分计算!$W$8+部分计算!R6*部分计算!$W$9+部分计算!S6*部分计算!$W$10</f>
        <v>2112101</v>
      </c>
      <c r="D80" s="20">
        <f>部分计算!$H$17*部分计算!L18+部分计算!$H$18*部分计算!M18+部分计算!$H$19*部分计算!N18</f>
        <v>426277.19999999995</v>
      </c>
      <c r="E80" s="20">
        <f t="shared" si="57"/>
        <v>1105196.8846291997</v>
      </c>
      <c r="F80" s="20">
        <f>部分计算!$Q$14*部分计算!$T$14*部分计算!$V$14*部分计算!L18</f>
        <v>4363107.763319999</v>
      </c>
      <c r="G80" s="20">
        <v>0.12</v>
      </c>
      <c r="H80" s="20">
        <f t="shared" si="62"/>
        <v>719532.67869079951</v>
      </c>
      <c r="I80" s="20">
        <f>I79+H80</f>
        <v>-3215916.0575470012</v>
      </c>
      <c r="J80" s="22"/>
      <c r="M80" s="20">
        <v>2023</v>
      </c>
      <c r="N80" s="20">
        <f t="shared" si="63"/>
        <v>567204.00923159986</v>
      </c>
      <c r="O80" s="20">
        <f t="shared" si="58"/>
        <v>0</v>
      </c>
      <c r="P80" s="20">
        <f t="shared" si="59"/>
        <v>219658.50400000002</v>
      </c>
      <c r="Q80" s="20">
        <f t="shared" si="60"/>
        <v>27708.017999999996</v>
      </c>
      <c r="R80" s="20">
        <f t="shared" si="64"/>
        <v>319837.48723159987</v>
      </c>
      <c r="S80" s="20">
        <f>措施后变化!F80*0.06</f>
        <v>261786.46579919994</v>
      </c>
      <c r="T80" s="20">
        <f t="shared" si="61"/>
        <v>523572.93159839988</v>
      </c>
    </row>
    <row r="81" spans="1:20" x14ac:dyDescent="0.15">
      <c r="A81" s="20">
        <v>2024</v>
      </c>
      <c r="B81" s="20">
        <v>0</v>
      </c>
      <c r="C81" s="20">
        <f>部分计算!L7*部分计算!$W$3+部分计算!M7*部分计算!$W$4+部分计算!N7*部分计算!$W$7+部分计算!O7*部分计算!$W$5+部分计算!P7*部分计算!$W$6+部分计算!Q7*部分计算!$W$8+部分计算!R7*部分计算!$W$9+部分计算!S7*部分计算!$W$10</f>
        <v>1875181</v>
      </c>
      <c r="D81" s="20">
        <f>部分计算!$H$17*部分计算!L19+部分计算!$H$18*部分计算!M19+部分计算!$H$19*部分计算!N19</f>
        <v>721911.2</v>
      </c>
      <c r="E81" s="20">
        <f t="shared" si="57"/>
        <v>2427313.6424723999</v>
      </c>
      <c r="F81" s="20">
        <f>部分计算!$Q$14*部分计算!$T$14*部分计算!$V$14*部分计算!L19</f>
        <v>8610505.4660400003</v>
      </c>
      <c r="G81" s="20">
        <v>0.12</v>
      </c>
      <c r="H81" s="20">
        <f t="shared" si="62"/>
        <v>3586099.6235676007</v>
      </c>
      <c r="I81" s="20">
        <f t="shared" ref="I81:I87" si="65">I80+H81</f>
        <v>370183.56602059957</v>
      </c>
      <c r="J81" s="22"/>
      <c r="M81" s="20">
        <v>2024</v>
      </c>
      <c r="N81" s="20">
        <f t="shared" si="63"/>
        <v>1119365.7105852</v>
      </c>
      <c r="O81" s="20">
        <f t="shared" si="58"/>
        <v>0</v>
      </c>
      <c r="P81" s="20">
        <f t="shared" si="59"/>
        <v>195018.82400000002</v>
      </c>
      <c r="Q81" s="20">
        <f t="shared" si="60"/>
        <v>46924.227999999996</v>
      </c>
      <c r="R81" s="20">
        <f t="shared" si="64"/>
        <v>877422.65858519997</v>
      </c>
      <c r="S81" s="20">
        <f>措施后变化!F81*0.06</f>
        <v>516630.32796239998</v>
      </c>
      <c r="T81" s="20">
        <f t="shared" si="61"/>
        <v>1033260.6559248</v>
      </c>
    </row>
    <row r="82" spans="1:20" x14ac:dyDescent="0.15">
      <c r="A82" s="20">
        <v>2025</v>
      </c>
      <c r="B82" s="20">
        <v>0</v>
      </c>
      <c r="C82" s="20">
        <f>部分计算!L8*部分计算!$W$3+部分计算!M8*部分计算!$W$4+部分计算!N8*部分计算!$W$7+部分计算!O8*部分计算!$W$5+部分计算!P8*部分计算!$W$6+部分计算!Q8*部分计算!$W$8+部分计算!R8*部分计算!$W$9+部分计算!S8*部分计算!$W$10</f>
        <v>1106364</v>
      </c>
      <c r="D82" s="20">
        <f>部分计算!$H$17*部分计算!L20+部分计算!$H$18*部分计算!M20+部分计算!$H$19*部分计算!N20</f>
        <v>929850.10000000009</v>
      </c>
      <c r="E82" s="20">
        <f t="shared" si="57"/>
        <v>2481394.9866950507</v>
      </c>
      <c r="F82" s="20">
        <f>部分计算!$Q$14*部分计算!$T$14*部分计算!$V$14*部分计算!L20</f>
        <v>8570635.8038550019</v>
      </c>
      <c r="G82" s="20">
        <v>0.12</v>
      </c>
      <c r="H82" s="20">
        <f t="shared" si="62"/>
        <v>4053026.7171599511</v>
      </c>
      <c r="I82" s="20">
        <f t="shared" si="65"/>
        <v>4423210.2831805507</v>
      </c>
      <c r="J82" s="22"/>
      <c r="M82" s="20">
        <v>2025</v>
      </c>
      <c r="N82" s="20">
        <f t="shared" si="63"/>
        <v>1114182.6545011504</v>
      </c>
      <c r="O82" s="20">
        <f t="shared" si="58"/>
        <v>0</v>
      </c>
      <c r="P82" s="20">
        <f t="shared" si="59"/>
        <v>115061.85600000001</v>
      </c>
      <c r="Q82" s="20">
        <f t="shared" si="60"/>
        <v>60440.25650000001</v>
      </c>
      <c r="R82" s="20">
        <f t="shared" si="64"/>
        <v>938680.54200115032</v>
      </c>
      <c r="S82" s="20">
        <f>措施后变化!F82*0.06</f>
        <v>514238.14823130012</v>
      </c>
      <c r="T82" s="20">
        <f t="shared" si="61"/>
        <v>1028476.2964626002</v>
      </c>
    </row>
    <row r="83" spans="1:20" x14ac:dyDescent="0.15">
      <c r="A83" s="20">
        <v>2026</v>
      </c>
      <c r="B83" s="20">
        <v>0</v>
      </c>
      <c r="C83" s="20">
        <f>部分计算!L9*部分计算!$W$3+部分计算!M9*部分计算!$W$4+部分计算!N9*部分计算!$W$7+部分计算!O9*部分计算!$W$5+部分计算!P9*部分计算!$W$6+部分计算!Q9*部分计算!$W$8+部分计算!R9*部分计算!$W$9+部分计算!S9*部分计算!$W$10</f>
        <v>0</v>
      </c>
      <c r="D83" s="20">
        <f>部分计算!$H$17*部分计算!L21+部分计算!$H$18*部分计算!M21+部分计算!$H$19*部分计算!N21</f>
        <v>944531.4</v>
      </c>
      <c r="E83" s="20">
        <f t="shared" si="57"/>
        <v>2451970.0973716495</v>
      </c>
      <c r="F83" s="20">
        <f>部分计算!$Q$14*部分计算!$T$14*部分计算!$V$14*部分计算!L21</f>
        <v>8107627.865714998</v>
      </c>
      <c r="G83" s="20">
        <v>0.12</v>
      </c>
      <c r="H83" s="20">
        <f t="shared" si="62"/>
        <v>4711126.3683433477</v>
      </c>
      <c r="I83" s="20">
        <f t="shared" si="65"/>
        <v>9134336.6515238993</v>
      </c>
      <c r="J83" s="22"/>
      <c r="M83" s="20">
        <v>2026</v>
      </c>
      <c r="N83" s="20">
        <f t="shared" si="63"/>
        <v>1053991.6225429499</v>
      </c>
      <c r="O83" s="20">
        <f t="shared" si="58"/>
        <v>0</v>
      </c>
      <c r="P83" s="20">
        <f t="shared" si="59"/>
        <v>0</v>
      </c>
      <c r="Q83" s="20">
        <f t="shared" si="60"/>
        <v>61394.541000000005</v>
      </c>
      <c r="R83" s="20">
        <f t="shared" si="64"/>
        <v>992597.08154294989</v>
      </c>
      <c r="S83" s="20">
        <f>措施后变化!F83*0.06</f>
        <v>486457.67194289988</v>
      </c>
      <c r="T83" s="20">
        <f t="shared" si="61"/>
        <v>972915.34388579975</v>
      </c>
    </row>
    <row r="84" spans="1:20" x14ac:dyDescent="0.15">
      <c r="A84" s="20">
        <v>2027</v>
      </c>
      <c r="B84" s="20">
        <v>0</v>
      </c>
      <c r="C84" s="20">
        <f>部分计算!L10*部分计算!$W$3+部分计算!M10*部分计算!$W$4+部分计算!N10*部分计算!$W$7+部分计算!O10*部分计算!$W$5+部分计算!P10*部分计算!$W$6+部分计算!Q10*部分计算!$W$8+部分计算!R10*部分计算!$W$9+部分计算!S10*部分计算!$W$10</f>
        <v>0</v>
      </c>
      <c r="D84" s="20">
        <f>部分计算!$H$17*部分计算!L22+部分计算!$H$18*部分计算!M22+部分计算!$H$19*部分计算!N22</f>
        <v>847710.8</v>
      </c>
      <c r="E84" s="20">
        <f t="shared" si="57"/>
        <v>2003037.8382857004</v>
      </c>
      <c r="F84" s="20">
        <f>部分计算!$Q$14*部分计算!$T$14*部分计算!$V$14*部分计算!L22</f>
        <v>6639158.1944700014</v>
      </c>
      <c r="G84" s="20">
        <v>0.12</v>
      </c>
      <c r="H84" s="20">
        <f t="shared" si="62"/>
        <v>3788409.5561843012</v>
      </c>
      <c r="I84" s="20">
        <f t="shared" si="65"/>
        <v>12922746.2077082</v>
      </c>
      <c r="J84" s="22"/>
      <c r="M84" s="20">
        <v>2027</v>
      </c>
      <c r="N84" s="20">
        <f t="shared" si="63"/>
        <v>863090.56528110022</v>
      </c>
      <c r="O84" s="20">
        <f t="shared" si="58"/>
        <v>0</v>
      </c>
      <c r="P84" s="20">
        <f t="shared" si="59"/>
        <v>0</v>
      </c>
      <c r="Q84" s="20">
        <f t="shared" si="60"/>
        <v>55101.202000000005</v>
      </c>
      <c r="R84" s="20">
        <f t="shared" si="64"/>
        <v>807989.36328110017</v>
      </c>
      <c r="S84" s="20">
        <f>措施后变化!F84*0.06</f>
        <v>398349.49166820006</v>
      </c>
      <c r="T84" s="20">
        <f t="shared" si="61"/>
        <v>796698.98333640012</v>
      </c>
    </row>
    <row r="85" spans="1:20" x14ac:dyDescent="0.15">
      <c r="A85" s="20">
        <v>2028</v>
      </c>
      <c r="B85" s="20">
        <v>0</v>
      </c>
      <c r="C85" s="20">
        <f>部分计算!L11*部分计算!$W$3+部分计算!M11*部分计算!$W$4+部分计算!N11*部分计算!$W$7+部分计算!O11*部分计算!$W$5+部分计算!P11*部分计算!$W$6+部分计算!Q11*部分计算!$W$8+部分计算!R11*部分计算!$W$9+部分计算!S11*部分计算!$W$10</f>
        <v>0</v>
      </c>
      <c r="D85" s="20">
        <f>部分计算!$H$17*部分计算!L23+部分计算!$H$18*部分计算!M23+部分计算!$H$19*部分计算!N23</f>
        <v>704472.6</v>
      </c>
      <c r="E85" s="20">
        <f t="shared" si="57"/>
        <v>1381476.1089269998</v>
      </c>
      <c r="F85" s="20">
        <f>部分计算!$Q$14*部分计算!$T$14*部分计算!$V$14*部分计算!L23</f>
        <v>4604086.5416999999</v>
      </c>
      <c r="G85" s="20">
        <v>0.12</v>
      </c>
      <c r="H85" s="20">
        <f t="shared" si="62"/>
        <v>2518137.832773</v>
      </c>
      <c r="I85" s="20">
        <f t="shared" si="65"/>
        <v>15440884.0404812</v>
      </c>
      <c r="J85" s="22"/>
      <c r="M85" s="20">
        <v>2028</v>
      </c>
      <c r="N85" s="20">
        <f t="shared" si="63"/>
        <v>598531.25042100006</v>
      </c>
      <c r="O85" s="20">
        <f t="shared" si="58"/>
        <v>0</v>
      </c>
      <c r="P85" s="20">
        <f t="shared" si="59"/>
        <v>0</v>
      </c>
      <c r="Q85" s="20">
        <f t="shared" si="60"/>
        <v>45790.718999999997</v>
      </c>
      <c r="R85" s="20">
        <f t="shared" si="64"/>
        <v>552740.53142100002</v>
      </c>
      <c r="S85" s="20">
        <f>措施后变化!F85*0.06</f>
        <v>276245.19250199996</v>
      </c>
      <c r="T85" s="20">
        <f t="shared" si="61"/>
        <v>552490.38500399992</v>
      </c>
    </row>
    <row r="86" spans="1:20" x14ac:dyDescent="0.15">
      <c r="A86" s="20">
        <v>2029</v>
      </c>
      <c r="B86" s="20">
        <v>0</v>
      </c>
      <c r="C86" s="20">
        <f>部分计算!L12*部分计算!$W$3+部分计算!M12*部分计算!$W$4+部分计算!N12*部分计算!$W$7+部分计算!O12*部分计算!$W$5+部分计算!P12*部分计算!$W$6+部分计算!Q12*部分计算!$W$8+部分计算!R12*部分计算!$W$9+部分计算!S12*部分计算!$W$10</f>
        <v>0</v>
      </c>
      <c r="D86" s="20">
        <f>部分计算!$H$17*部分计算!L24+部分计算!$H$18*部分计算!M24+部分计算!$H$19*部分计算!N24</f>
        <v>587286.15</v>
      </c>
      <c r="E86" s="20">
        <f t="shared" si="57"/>
        <v>871842.21635692497</v>
      </c>
      <c r="F86" s="20">
        <f>部分计算!$Q$14*部分计算!$T$14*部分计算!$V$14*部分计算!L24</f>
        <v>2935534.8906675</v>
      </c>
      <c r="G86" s="20">
        <v>0.12</v>
      </c>
      <c r="H86" s="20">
        <f t="shared" si="62"/>
        <v>1476406.5243105749</v>
      </c>
      <c r="I86" s="20">
        <f t="shared" si="65"/>
        <v>16917290.564791776</v>
      </c>
      <c r="J86" s="22"/>
      <c r="M86" s="20">
        <v>2029</v>
      </c>
      <c r="N86" s="20">
        <f t="shared" si="63"/>
        <v>381619.535786775</v>
      </c>
      <c r="O86" s="20">
        <f t="shared" si="58"/>
        <v>0</v>
      </c>
      <c r="P86" s="20">
        <f t="shared" si="59"/>
        <v>0</v>
      </c>
      <c r="Q86" s="20">
        <f t="shared" si="60"/>
        <v>38173.599750000001</v>
      </c>
      <c r="R86" s="20">
        <f t="shared" si="64"/>
        <v>343445.93603677501</v>
      </c>
      <c r="S86" s="20">
        <f>措施后变化!F86*0.06</f>
        <v>176132.09344005</v>
      </c>
      <c r="T86" s="20">
        <f t="shared" si="61"/>
        <v>352264.18688009999</v>
      </c>
    </row>
    <row r="87" spans="1:20" x14ac:dyDescent="0.15">
      <c r="A87" s="20">
        <v>2030</v>
      </c>
      <c r="B87" s="20">
        <v>0</v>
      </c>
      <c r="C87" s="20">
        <f>部分计算!L13*部分计算!$W$3+部分计算!M13*部分计算!$W$4+部分计算!N13*部分计算!$W$7+部分计算!O13*部分计算!$W$5+部分计算!P13*部分计算!$W$6+部分计算!Q13*部分计算!$W$8+部分计算!R13*部分计算!$W$9+部分计算!S13*部分计算!$W$10</f>
        <v>0</v>
      </c>
      <c r="D87" s="20">
        <f>部分计算!$H$17*部分计算!L25+部分计算!$H$18*部分计算!M25+部分计算!$H$19*部分计算!N25</f>
        <v>550839.19999999995</v>
      </c>
      <c r="E87" s="20">
        <f t="shared" si="57"/>
        <v>625661.2366855999</v>
      </c>
      <c r="F87" s="20">
        <f>部分计算!$Q$14*部分计算!$T$14*部分计算!$V$14*部分计算!L25</f>
        <v>2133760.5957599995</v>
      </c>
      <c r="G87" s="20">
        <v>0.12</v>
      </c>
      <c r="H87" s="20">
        <f t="shared" si="62"/>
        <v>957260.15907439962</v>
      </c>
      <c r="I87" s="20">
        <f t="shared" si="65"/>
        <v>17874550.723866176</v>
      </c>
      <c r="J87" s="22"/>
      <c r="M87" s="20">
        <v>2030</v>
      </c>
      <c r="N87" s="20">
        <f t="shared" si="63"/>
        <v>277388.87744879996</v>
      </c>
      <c r="O87" s="20">
        <f t="shared" si="58"/>
        <v>0</v>
      </c>
      <c r="P87" s="20">
        <f t="shared" si="59"/>
        <v>0</v>
      </c>
      <c r="Q87" s="20">
        <f t="shared" si="60"/>
        <v>35804.547999999995</v>
      </c>
      <c r="R87" s="20">
        <f t="shared" si="64"/>
        <v>241584.32944879995</v>
      </c>
      <c r="S87" s="20">
        <f>措施后变化!F87*0.06</f>
        <v>128025.63574559997</v>
      </c>
      <c r="T87" s="20">
        <f t="shared" si="61"/>
        <v>256051.27149119994</v>
      </c>
    </row>
    <row r="89" spans="1:20" x14ac:dyDescent="0.15">
      <c r="A89" s="20" t="s">
        <v>0</v>
      </c>
      <c r="B89" s="20" t="s">
        <v>95</v>
      </c>
      <c r="C89" s="20" t="s">
        <v>3</v>
      </c>
      <c r="D89" s="20" t="s">
        <v>5</v>
      </c>
      <c r="E89" s="20" t="s">
        <v>71</v>
      </c>
      <c r="F89" s="20" t="s">
        <v>84</v>
      </c>
      <c r="G89" s="20" t="s">
        <v>7</v>
      </c>
      <c r="H89" s="20" t="s">
        <v>92</v>
      </c>
      <c r="I89" s="20" t="s">
        <v>99</v>
      </c>
      <c r="J89" s="20" t="s">
        <v>94</v>
      </c>
      <c r="K89" s="20" t="s">
        <v>109</v>
      </c>
      <c r="N89" s="20" t="s">
        <v>73</v>
      </c>
      <c r="O89" s="20" t="s">
        <v>86</v>
      </c>
      <c r="P89" s="20" t="s">
        <v>106</v>
      </c>
      <c r="Q89" s="20" t="s">
        <v>89</v>
      </c>
      <c r="R89" s="20" t="s">
        <v>75</v>
      </c>
      <c r="S89" s="20" t="s">
        <v>77</v>
      </c>
      <c r="T89" s="20" t="s">
        <v>103</v>
      </c>
    </row>
    <row r="90" spans="1:20" x14ac:dyDescent="0.15">
      <c r="A90" s="20">
        <v>2021</v>
      </c>
      <c r="B90" s="20">
        <v>1820000</v>
      </c>
      <c r="C90" s="20">
        <f>C78*1.1</f>
        <v>1422740</v>
      </c>
      <c r="D90" s="20">
        <v>37247.400000000052</v>
      </c>
      <c r="E90" s="20">
        <f t="shared" ref="E90:E99" si="66">R90+S90+T90</f>
        <v>44636.413594500074</v>
      </c>
      <c r="F90" s="20">
        <v>247980.0755250004</v>
      </c>
      <c r="G90" s="20">
        <v>0.12</v>
      </c>
      <c r="H90" s="20">
        <f>F90-E90-D90-C90-B90</f>
        <v>-3076643.7380694998</v>
      </c>
      <c r="I90" s="20">
        <f>H90</f>
        <v>-3076643.7380694998</v>
      </c>
      <c r="J90" s="22">
        <f>IRR(H90:H99)</f>
        <v>0.4240070871162438</v>
      </c>
      <c r="K90" s="20" t="s">
        <v>117</v>
      </c>
      <c r="M90" s="20">
        <v>2021</v>
      </c>
      <c r="N90" s="20">
        <f>F90*0.13</f>
        <v>32237.409818250053</v>
      </c>
      <c r="O90" s="20">
        <f t="shared" ref="O90:O99" si="67">B90*0.13</f>
        <v>236600</v>
      </c>
      <c r="P90" s="20">
        <f t="shared" ref="P90:P99" si="68">C90*0.13*0.8</f>
        <v>147964.96000000002</v>
      </c>
      <c r="Q90" s="20">
        <f t="shared" ref="Q90:Q99" si="69">D90*0.13*0.5</f>
        <v>2421.0810000000033</v>
      </c>
      <c r="R90" s="20">
        <f>IF(N90-O90-P90-Q90&gt;0,N90-O90-P90-Q90,0)</f>
        <v>0</v>
      </c>
      <c r="S90" s="20">
        <f>措施后变化!F90*0.06</f>
        <v>14878.804531500024</v>
      </c>
      <c r="T90" s="20">
        <f t="shared" ref="T90:T99" si="70">F90*0.12</f>
        <v>29757.609063000047</v>
      </c>
    </row>
    <row r="91" spans="1:20" x14ac:dyDescent="0.15">
      <c r="A91" s="20">
        <v>2022</v>
      </c>
      <c r="B91" s="20">
        <v>0</v>
      </c>
      <c r="C91" s="20">
        <f t="shared" ref="C91:C99" si="71">C79*1.1</f>
        <v>4095877.5000000005</v>
      </c>
      <c r="D91" s="20">
        <v>306445.80000000005</v>
      </c>
      <c r="E91" s="20">
        <f t="shared" si="66"/>
        <v>737797.69009829964</v>
      </c>
      <c r="F91" s="20">
        <v>3818348.1519299992</v>
      </c>
      <c r="G91" s="20">
        <v>0.12</v>
      </c>
      <c r="H91" s="20">
        <f t="shared" ref="H91:H99" si="72">F91-E91-D91-C91-B91</f>
        <v>-1321772.8381683012</v>
      </c>
      <c r="I91" s="20">
        <f>I90+H91</f>
        <v>-4398416.5762378015</v>
      </c>
      <c r="J91" s="22"/>
      <c r="M91" s="20">
        <v>2022</v>
      </c>
      <c r="N91" s="20">
        <f t="shared" ref="N91:N99" si="73">F91*0.13</f>
        <v>496385.25975089992</v>
      </c>
      <c r="O91" s="20">
        <f t="shared" si="67"/>
        <v>0</v>
      </c>
      <c r="P91" s="20">
        <f t="shared" si="68"/>
        <v>425971.26000000007</v>
      </c>
      <c r="Q91" s="20">
        <f t="shared" si="69"/>
        <v>19918.977000000003</v>
      </c>
      <c r="R91" s="20">
        <f t="shared" ref="R91:R99" si="74">IF(N91-O91-P91-Q91&gt;0,N91-O91-P91-Q91,0)</f>
        <v>50495.022750899851</v>
      </c>
      <c r="S91" s="20">
        <f>措施后变化!F91*0.06</f>
        <v>229100.88911579995</v>
      </c>
      <c r="T91" s="20">
        <f t="shared" si="70"/>
        <v>458201.77823159989</v>
      </c>
    </row>
    <row r="92" spans="1:20" x14ac:dyDescent="0.15">
      <c r="A92" s="20">
        <v>2023</v>
      </c>
      <c r="B92" s="20">
        <v>0</v>
      </c>
      <c r="C92" s="20">
        <f t="shared" si="71"/>
        <v>2323311.1</v>
      </c>
      <c r="D92" s="20">
        <v>426277.19999999995</v>
      </c>
      <c r="E92" s="20">
        <f t="shared" si="66"/>
        <v>1083231.0342291996</v>
      </c>
      <c r="F92" s="20">
        <v>4363107.763319999</v>
      </c>
      <c r="G92" s="20">
        <v>0.12</v>
      </c>
      <c r="H92" s="20">
        <f t="shared" si="72"/>
        <v>530288.4290907993</v>
      </c>
      <c r="I92" s="20">
        <f>I91+H92</f>
        <v>-3868128.1471470022</v>
      </c>
      <c r="J92" s="22"/>
      <c r="M92" s="20">
        <v>2023</v>
      </c>
      <c r="N92" s="20">
        <f t="shared" si="73"/>
        <v>567204.00923159986</v>
      </c>
      <c r="O92" s="20">
        <f t="shared" si="67"/>
        <v>0</v>
      </c>
      <c r="P92" s="20">
        <f t="shared" si="68"/>
        <v>241624.35440000004</v>
      </c>
      <c r="Q92" s="20">
        <f t="shared" si="69"/>
        <v>27708.017999999996</v>
      </c>
      <c r="R92" s="20">
        <f t="shared" si="74"/>
        <v>297871.63683159981</v>
      </c>
      <c r="S92" s="20">
        <f>措施后变化!F92*0.06</f>
        <v>261786.46579919994</v>
      </c>
      <c r="T92" s="20">
        <f t="shared" si="70"/>
        <v>523572.93159839988</v>
      </c>
    </row>
    <row r="93" spans="1:20" x14ac:dyDescent="0.15">
      <c r="A93" s="20">
        <v>2024</v>
      </c>
      <c r="B93" s="20">
        <v>0</v>
      </c>
      <c r="C93" s="20">
        <f t="shared" si="71"/>
        <v>2062699.1</v>
      </c>
      <c r="D93" s="20">
        <v>721911.2</v>
      </c>
      <c r="E93" s="20">
        <f t="shared" si="66"/>
        <v>2407811.7600723999</v>
      </c>
      <c r="F93" s="20">
        <v>8610505.4660400003</v>
      </c>
      <c r="G93" s="20">
        <v>0.12</v>
      </c>
      <c r="H93" s="20">
        <f t="shared" si="72"/>
        <v>3418083.4059676002</v>
      </c>
      <c r="I93" s="20">
        <f t="shared" ref="I93:I99" si="75">I92+H93</f>
        <v>-450044.74117940199</v>
      </c>
      <c r="J93" s="22"/>
      <c r="M93" s="20">
        <v>2024</v>
      </c>
      <c r="N93" s="20">
        <f t="shared" si="73"/>
        <v>1119365.7105852</v>
      </c>
      <c r="O93" s="20">
        <f t="shared" si="67"/>
        <v>0</v>
      </c>
      <c r="P93" s="20">
        <f t="shared" si="68"/>
        <v>214520.70640000002</v>
      </c>
      <c r="Q93" s="20">
        <f t="shared" si="69"/>
        <v>46924.227999999996</v>
      </c>
      <c r="R93" s="20">
        <f t="shared" si="74"/>
        <v>857920.77618519997</v>
      </c>
      <c r="S93" s="20">
        <f>措施后变化!F93*0.06</f>
        <v>516630.32796239998</v>
      </c>
      <c r="T93" s="20">
        <f t="shared" si="70"/>
        <v>1033260.6559248</v>
      </c>
    </row>
    <row r="94" spans="1:20" x14ac:dyDescent="0.15">
      <c r="A94" s="20">
        <v>2025</v>
      </c>
      <c r="B94" s="20">
        <v>0</v>
      </c>
      <c r="C94" s="20">
        <f t="shared" si="71"/>
        <v>1217000.4000000001</v>
      </c>
      <c r="D94" s="20">
        <v>929850.10000000009</v>
      </c>
      <c r="E94" s="20">
        <f t="shared" si="66"/>
        <v>2469888.8010950508</v>
      </c>
      <c r="F94" s="20">
        <v>8570635.8038550019</v>
      </c>
      <c r="G94" s="20">
        <v>0.12</v>
      </c>
      <c r="H94" s="20">
        <f t="shared" si="72"/>
        <v>3953896.5027599502</v>
      </c>
      <c r="I94" s="20">
        <f t="shared" si="75"/>
        <v>3503851.7615805482</v>
      </c>
      <c r="J94" s="22"/>
      <c r="M94" s="20">
        <v>2025</v>
      </c>
      <c r="N94" s="20">
        <f t="shared" si="73"/>
        <v>1114182.6545011504</v>
      </c>
      <c r="O94" s="20">
        <f t="shared" si="67"/>
        <v>0</v>
      </c>
      <c r="P94" s="20">
        <f t="shared" si="68"/>
        <v>126568.04160000003</v>
      </c>
      <c r="Q94" s="20">
        <f t="shared" si="69"/>
        <v>60440.25650000001</v>
      </c>
      <c r="R94" s="20">
        <f t="shared" si="74"/>
        <v>927174.35640115035</v>
      </c>
      <c r="S94" s="20">
        <f>措施后变化!F94*0.06</f>
        <v>514238.14823130012</v>
      </c>
      <c r="T94" s="20">
        <f t="shared" si="70"/>
        <v>1028476.2964626002</v>
      </c>
    </row>
    <row r="95" spans="1:20" x14ac:dyDescent="0.15">
      <c r="A95" s="20">
        <v>2026</v>
      </c>
      <c r="B95" s="20">
        <v>0</v>
      </c>
      <c r="C95" s="20">
        <f t="shared" si="71"/>
        <v>0</v>
      </c>
      <c r="D95" s="20">
        <v>944531.4</v>
      </c>
      <c r="E95" s="20">
        <f t="shared" si="66"/>
        <v>2451970.0973716495</v>
      </c>
      <c r="F95" s="20">
        <v>8107627.865714998</v>
      </c>
      <c r="G95" s="20">
        <v>0.12</v>
      </c>
      <c r="H95" s="20">
        <f t="shared" si="72"/>
        <v>4711126.3683433477</v>
      </c>
      <c r="I95" s="20">
        <f t="shared" si="75"/>
        <v>8214978.1299238959</v>
      </c>
      <c r="J95" s="22"/>
      <c r="M95" s="20">
        <v>2026</v>
      </c>
      <c r="N95" s="20">
        <f t="shared" si="73"/>
        <v>1053991.6225429499</v>
      </c>
      <c r="O95" s="20">
        <f t="shared" si="67"/>
        <v>0</v>
      </c>
      <c r="P95" s="20">
        <f t="shared" si="68"/>
        <v>0</v>
      </c>
      <c r="Q95" s="20">
        <f t="shared" si="69"/>
        <v>61394.541000000005</v>
      </c>
      <c r="R95" s="20">
        <f t="shared" si="74"/>
        <v>992597.08154294989</v>
      </c>
      <c r="S95" s="20">
        <f>措施后变化!F95*0.06</f>
        <v>486457.67194289988</v>
      </c>
      <c r="T95" s="20">
        <f t="shared" si="70"/>
        <v>972915.34388579975</v>
      </c>
    </row>
    <row r="96" spans="1:20" x14ac:dyDescent="0.15">
      <c r="A96" s="20">
        <v>2027</v>
      </c>
      <c r="B96" s="20">
        <v>0</v>
      </c>
      <c r="C96" s="20">
        <f t="shared" si="71"/>
        <v>0</v>
      </c>
      <c r="D96" s="20">
        <v>847710.8</v>
      </c>
      <c r="E96" s="20">
        <f t="shared" si="66"/>
        <v>2003037.8382857004</v>
      </c>
      <c r="F96" s="20">
        <v>6639158.1944700014</v>
      </c>
      <c r="G96" s="20">
        <v>0.12</v>
      </c>
      <c r="H96" s="20">
        <f t="shared" si="72"/>
        <v>3788409.5561843012</v>
      </c>
      <c r="I96" s="20">
        <f t="shared" si="75"/>
        <v>12003387.686108198</v>
      </c>
      <c r="J96" s="22"/>
      <c r="M96" s="20">
        <v>2027</v>
      </c>
      <c r="N96" s="20">
        <f t="shared" si="73"/>
        <v>863090.56528110022</v>
      </c>
      <c r="O96" s="20">
        <f t="shared" si="67"/>
        <v>0</v>
      </c>
      <c r="P96" s="20">
        <f t="shared" si="68"/>
        <v>0</v>
      </c>
      <c r="Q96" s="20">
        <f t="shared" si="69"/>
        <v>55101.202000000005</v>
      </c>
      <c r="R96" s="20">
        <f t="shared" si="74"/>
        <v>807989.36328110017</v>
      </c>
      <c r="S96" s="20">
        <f>措施后变化!F96*0.06</f>
        <v>398349.49166820006</v>
      </c>
      <c r="T96" s="20">
        <f t="shared" si="70"/>
        <v>796698.98333640012</v>
      </c>
    </row>
    <row r="97" spans="1:20" x14ac:dyDescent="0.15">
      <c r="A97" s="20">
        <v>2028</v>
      </c>
      <c r="B97" s="20">
        <v>0</v>
      </c>
      <c r="C97" s="20">
        <f t="shared" si="71"/>
        <v>0</v>
      </c>
      <c r="D97" s="20">
        <v>704472.6</v>
      </c>
      <c r="E97" s="20">
        <f t="shared" si="66"/>
        <v>1381476.1089269998</v>
      </c>
      <c r="F97" s="20">
        <v>4604086.5416999999</v>
      </c>
      <c r="G97" s="20">
        <v>0.12</v>
      </c>
      <c r="H97" s="20">
        <f t="shared" si="72"/>
        <v>2518137.832773</v>
      </c>
      <c r="I97" s="20">
        <f t="shared" si="75"/>
        <v>14521525.518881198</v>
      </c>
      <c r="J97" s="22"/>
      <c r="M97" s="20">
        <v>2028</v>
      </c>
      <c r="N97" s="20">
        <f t="shared" si="73"/>
        <v>598531.25042100006</v>
      </c>
      <c r="O97" s="20">
        <f t="shared" si="67"/>
        <v>0</v>
      </c>
      <c r="P97" s="20">
        <f t="shared" si="68"/>
        <v>0</v>
      </c>
      <c r="Q97" s="20">
        <f t="shared" si="69"/>
        <v>45790.718999999997</v>
      </c>
      <c r="R97" s="20">
        <f t="shared" si="74"/>
        <v>552740.53142100002</v>
      </c>
      <c r="S97" s="20">
        <f>措施后变化!F97*0.06</f>
        <v>276245.19250199996</v>
      </c>
      <c r="T97" s="20">
        <f t="shared" si="70"/>
        <v>552490.38500399992</v>
      </c>
    </row>
    <row r="98" spans="1:20" x14ac:dyDescent="0.15">
      <c r="A98" s="20">
        <v>2029</v>
      </c>
      <c r="B98" s="20">
        <v>0</v>
      </c>
      <c r="C98" s="20">
        <f t="shared" si="71"/>
        <v>0</v>
      </c>
      <c r="D98" s="20">
        <v>587286.15</v>
      </c>
      <c r="E98" s="20">
        <f t="shared" si="66"/>
        <v>871842.21635692497</v>
      </c>
      <c r="F98" s="20">
        <v>2935534.8906675</v>
      </c>
      <c r="G98" s="20">
        <v>0.12</v>
      </c>
      <c r="H98" s="20">
        <f t="shared" si="72"/>
        <v>1476406.5243105749</v>
      </c>
      <c r="I98" s="20">
        <f t="shared" si="75"/>
        <v>15997932.043191772</v>
      </c>
      <c r="J98" s="22"/>
      <c r="M98" s="20">
        <v>2029</v>
      </c>
      <c r="N98" s="20">
        <f t="shared" si="73"/>
        <v>381619.535786775</v>
      </c>
      <c r="O98" s="20">
        <f t="shared" si="67"/>
        <v>0</v>
      </c>
      <c r="P98" s="20">
        <f t="shared" si="68"/>
        <v>0</v>
      </c>
      <c r="Q98" s="20">
        <f t="shared" si="69"/>
        <v>38173.599750000001</v>
      </c>
      <c r="R98" s="20">
        <f t="shared" si="74"/>
        <v>343445.93603677501</v>
      </c>
      <c r="S98" s="20">
        <f>措施后变化!F98*0.06</f>
        <v>176132.09344005</v>
      </c>
      <c r="T98" s="20">
        <f t="shared" si="70"/>
        <v>352264.18688009999</v>
      </c>
    </row>
    <row r="99" spans="1:20" x14ac:dyDescent="0.15">
      <c r="A99" s="20">
        <v>2030</v>
      </c>
      <c r="B99" s="20">
        <v>0</v>
      </c>
      <c r="C99" s="20">
        <f t="shared" si="71"/>
        <v>0</v>
      </c>
      <c r="D99" s="20">
        <v>550839.19999999995</v>
      </c>
      <c r="E99" s="20">
        <f t="shared" si="66"/>
        <v>625661.2366855999</v>
      </c>
      <c r="F99" s="20">
        <v>2133760.5957599995</v>
      </c>
      <c r="G99" s="20">
        <v>0.12</v>
      </c>
      <c r="H99" s="20">
        <f t="shared" si="72"/>
        <v>957260.15907439962</v>
      </c>
      <c r="I99" s="20">
        <f t="shared" si="75"/>
        <v>16955192.202266172</v>
      </c>
      <c r="J99" s="22"/>
      <c r="M99" s="20">
        <v>2030</v>
      </c>
      <c r="N99" s="20">
        <f t="shared" si="73"/>
        <v>277388.87744879996</v>
      </c>
      <c r="O99" s="20">
        <f t="shared" si="67"/>
        <v>0</v>
      </c>
      <c r="P99" s="20">
        <f t="shared" si="68"/>
        <v>0</v>
      </c>
      <c r="Q99" s="20">
        <f t="shared" si="69"/>
        <v>35804.547999999995</v>
      </c>
      <c r="R99" s="20">
        <f t="shared" si="74"/>
        <v>241584.32944879995</v>
      </c>
      <c r="S99" s="20">
        <f>措施后变化!F99*0.06</f>
        <v>128025.63574559997</v>
      </c>
      <c r="T99" s="20">
        <f t="shared" si="70"/>
        <v>256051.27149119994</v>
      </c>
    </row>
    <row r="101" spans="1:20" x14ac:dyDescent="0.15">
      <c r="A101" s="20" t="s">
        <v>0</v>
      </c>
      <c r="B101" s="20" t="s">
        <v>95</v>
      </c>
      <c r="C101" s="20" t="s">
        <v>3</v>
      </c>
      <c r="D101" s="20" t="s">
        <v>5</v>
      </c>
      <c r="E101" s="20" t="s">
        <v>71</v>
      </c>
      <c r="F101" s="20" t="s">
        <v>84</v>
      </c>
      <c r="G101" s="20" t="s">
        <v>7</v>
      </c>
      <c r="H101" s="20" t="s">
        <v>92</v>
      </c>
      <c r="I101" s="20" t="s">
        <v>99</v>
      </c>
      <c r="J101" s="20" t="s">
        <v>94</v>
      </c>
      <c r="K101" s="20" t="s">
        <v>109</v>
      </c>
      <c r="N101" s="20" t="s">
        <v>73</v>
      </c>
      <c r="O101" s="20" t="s">
        <v>86</v>
      </c>
      <c r="P101" s="20" t="s">
        <v>106</v>
      </c>
      <c r="Q101" s="20" t="s">
        <v>89</v>
      </c>
      <c r="R101" s="20" t="s">
        <v>75</v>
      </c>
      <c r="S101" s="20" t="s">
        <v>77</v>
      </c>
      <c r="T101" s="20" t="s">
        <v>103</v>
      </c>
    </row>
    <row r="102" spans="1:20" x14ac:dyDescent="0.15">
      <c r="A102" s="20">
        <v>2021</v>
      </c>
      <c r="B102" s="20">
        <v>1820000</v>
      </c>
      <c r="C102" s="20">
        <f>C90*1.2</f>
        <v>1707288</v>
      </c>
      <c r="D102" s="20">
        <v>37247.400000000052</v>
      </c>
      <c r="E102" s="20">
        <f t="shared" ref="E102:E111" si="76">R102+S102+T102</f>
        <v>44636.413594500074</v>
      </c>
      <c r="F102" s="20">
        <v>247980.0755250004</v>
      </c>
      <c r="G102" s="20">
        <v>0.12</v>
      </c>
      <c r="H102" s="20">
        <f>F102-E102-D102-C102-B102</f>
        <v>-3361191.7380694998</v>
      </c>
      <c r="I102" s="20">
        <f>H102</f>
        <v>-3361191.7380694998</v>
      </c>
      <c r="J102" s="22">
        <f>IRR(H102:H111)</f>
        <v>0.33025286109975416</v>
      </c>
      <c r="K102" s="20" t="s">
        <v>118</v>
      </c>
      <c r="M102" s="20">
        <v>2021</v>
      </c>
      <c r="N102" s="20">
        <f>F102*0.13</f>
        <v>32237.409818250053</v>
      </c>
      <c r="O102" s="20">
        <f t="shared" ref="O102:O111" si="77">B102*0.13</f>
        <v>236600</v>
      </c>
      <c r="P102" s="20">
        <f t="shared" ref="P102:P111" si="78">C102*0.13*0.8</f>
        <v>177557.95200000002</v>
      </c>
      <c r="Q102" s="20">
        <f t="shared" ref="Q102:Q111" si="79">D102*0.13*0.5</f>
        <v>2421.0810000000033</v>
      </c>
      <c r="R102" s="20">
        <f>IF(N102-O102-P102-Q102&gt;0,N102-O102-P102-Q102,0)</f>
        <v>0</v>
      </c>
      <c r="S102" s="20">
        <f>措施后变化!F102*0.06</f>
        <v>14878.804531500024</v>
      </c>
      <c r="T102" s="20">
        <f t="shared" ref="T102:T111" si="80">F102*0.12</f>
        <v>29757.609063000047</v>
      </c>
    </row>
    <row r="103" spans="1:20" x14ac:dyDescent="0.15">
      <c r="A103" s="20">
        <v>2022</v>
      </c>
      <c r="B103" s="20">
        <v>0</v>
      </c>
      <c r="C103" s="20">
        <f t="shared" ref="C103:C106" si="81">C91*1.2</f>
        <v>4915053</v>
      </c>
      <c r="D103" s="20">
        <v>306445.80000000005</v>
      </c>
      <c r="E103" s="20">
        <f t="shared" si="76"/>
        <v>687302.66734739987</v>
      </c>
      <c r="F103" s="20">
        <v>3818348.1519299992</v>
      </c>
      <c r="G103" s="20">
        <v>0.12</v>
      </c>
      <c r="H103" s="20">
        <f t="shared" ref="H103:H111" si="82">F103-E103-D103-C103-B103</f>
        <v>-2090453.3154174006</v>
      </c>
      <c r="I103" s="20">
        <f>I102+H103</f>
        <v>-5451645.0534869004</v>
      </c>
      <c r="J103" s="22"/>
      <c r="M103" s="20">
        <v>2022</v>
      </c>
      <c r="N103" s="20">
        <f t="shared" ref="N103:N111" si="83">F103*0.13</f>
        <v>496385.25975089992</v>
      </c>
      <c r="O103" s="20">
        <f t="shared" si="77"/>
        <v>0</v>
      </c>
      <c r="P103" s="20">
        <f t="shared" si="78"/>
        <v>511165.51200000005</v>
      </c>
      <c r="Q103" s="20">
        <f t="shared" si="79"/>
        <v>19918.977000000003</v>
      </c>
      <c r="R103" s="20">
        <f t="shared" ref="R103:R111" si="84">IF(N103-O103-P103-Q103&gt;0,N103-O103-P103-Q103,0)</f>
        <v>0</v>
      </c>
      <c r="S103" s="20">
        <f>措施后变化!F103*0.06</f>
        <v>229100.88911579995</v>
      </c>
      <c r="T103" s="20">
        <f t="shared" si="80"/>
        <v>458201.77823159989</v>
      </c>
    </row>
    <row r="104" spans="1:20" x14ac:dyDescent="0.15">
      <c r="A104" s="20">
        <v>2023</v>
      </c>
      <c r="B104" s="20">
        <v>0</v>
      </c>
      <c r="C104" s="20">
        <f t="shared" si="81"/>
        <v>2787973.32</v>
      </c>
      <c r="D104" s="20">
        <v>426277.19999999995</v>
      </c>
      <c r="E104" s="20">
        <f t="shared" si="76"/>
        <v>1034906.1633491997</v>
      </c>
      <c r="F104" s="20">
        <v>4363107.763319999</v>
      </c>
      <c r="G104" s="20">
        <v>0.12</v>
      </c>
      <c r="H104" s="20">
        <f t="shared" si="82"/>
        <v>113951.07997079985</v>
      </c>
      <c r="I104" s="20">
        <f>I103+H104</f>
        <v>-5337693.973516101</v>
      </c>
      <c r="J104" s="22"/>
      <c r="M104" s="20">
        <v>2023</v>
      </c>
      <c r="N104" s="20">
        <f t="shared" si="83"/>
        <v>567204.00923159986</v>
      </c>
      <c r="O104" s="20">
        <f t="shared" si="77"/>
        <v>0</v>
      </c>
      <c r="P104" s="20">
        <f t="shared" si="78"/>
        <v>289949.22528000001</v>
      </c>
      <c r="Q104" s="20">
        <f t="shared" si="79"/>
        <v>27708.017999999996</v>
      </c>
      <c r="R104" s="20">
        <f t="shared" si="84"/>
        <v>249546.76595159987</v>
      </c>
      <c r="S104" s="20">
        <f>措施后变化!F104*0.06</f>
        <v>261786.46579919994</v>
      </c>
      <c r="T104" s="20">
        <f t="shared" si="80"/>
        <v>523572.93159839988</v>
      </c>
    </row>
    <row r="105" spans="1:20" x14ac:dyDescent="0.15">
      <c r="A105" s="20">
        <v>2024</v>
      </c>
      <c r="B105" s="20">
        <v>0</v>
      </c>
      <c r="C105" s="20">
        <f t="shared" si="81"/>
        <v>2475238.92</v>
      </c>
      <c r="D105" s="20">
        <v>721911.2</v>
      </c>
      <c r="E105" s="20">
        <f t="shared" si="76"/>
        <v>2364907.6187923998</v>
      </c>
      <c r="F105" s="20">
        <v>8610505.4660400003</v>
      </c>
      <c r="G105" s="20">
        <v>0.12</v>
      </c>
      <c r="H105" s="20">
        <f t="shared" si="82"/>
        <v>3048447.7272476004</v>
      </c>
      <c r="I105" s="20">
        <f t="shared" ref="I105:I111" si="85">I104+H105</f>
        <v>-2289246.2462685006</v>
      </c>
      <c r="J105" s="22"/>
      <c r="M105" s="20">
        <v>2024</v>
      </c>
      <c r="N105" s="20">
        <f t="shared" si="83"/>
        <v>1119365.7105852</v>
      </c>
      <c r="O105" s="20">
        <f t="shared" si="77"/>
        <v>0</v>
      </c>
      <c r="P105" s="20">
        <f t="shared" si="78"/>
        <v>257424.84768000001</v>
      </c>
      <c r="Q105" s="20">
        <f t="shared" si="79"/>
        <v>46924.227999999996</v>
      </c>
      <c r="R105" s="20">
        <f t="shared" si="84"/>
        <v>815016.63490519999</v>
      </c>
      <c r="S105" s="20">
        <f>措施后变化!F105*0.06</f>
        <v>516630.32796239998</v>
      </c>
      <c r="T105" s="20">
        <f t="shared" si="80"/>
        <v>1033260.6559248</v>
      </c>
    </row>
    <row r="106" spans="1:20" x14ac:dyDescent="0.15">
      <c r="A106" s="20">
        <v>2025</v>
      </c>
      <c r="B106" s="20">
        <v>0</v>
      </c>
      <c r="C106" s="20">
        <f t="shared" si="81"/>
        <v>1460400.4800000002</v>
      </c>
      <c r="D106" s="20">
        <v>929850.10000000009</v>
      </c>
      <c r="E106" s="20">
        <f t="shared" si="76"/>
        <v>2444575.1927750506</v>
      </c>
      <c r="F106" s="20">
        <v>8570635.8038550019</v>
      </c>
      <c r="G106" s="20">
        <v>0.12</v>
      </c>
      <c r="H106" s="20">
        <f t="shared" si="82"/>
        <v>3735810.0310799517</v>
      </c>
      <c r="I106" s="20">
        <f t="shared" si="85"/>
        <v>1446563.7848114511</v>
      </c>
      <c r="J106" s="22"/>
      <c r="M106" s="20">
        <v>2025</v>
      </c>
      <c r="N106" s="20">
        <f t="shared" si="83"/>
        <v>1114182.6545011504</v>
      </c>
      <c r="O106" s="20">
        <f t="shared" si="77"/>
        <v>0</v>
      </c>
      <c r="P106" s="20">
        <f t="shared" si="78"/>
        <v>151881.64992000003</v>
      </c>
      <c r="Q106" s="20">
        <f t="shared" si="79"/>
        <v>60440.25650000001</v>
      </c>
      <c r="R106" s="20">
        <f t="shared" si="84"/>
        <v>901860.74808115035</v>
      </c>
      <c r="S106" s="20">
        <f>措施后变化!F106*0.06</f>
        <v>514238.14823130012</v>
      </c>
      <c r="T106" s="20">
        <f t="shared" si="80"/>
        <v>1028476.2964626002</v>
      </c>
    </row>
    <row r="107" spans="1:20" x14ac:dyDescent="0.15">
      <c r="A107" s="20">
        <v>2026</v>
      </c>
      <c r="B107" s="20">
        <v>0</v>
      </c>
      <c r="C107" s="20">
        <f t="shared" ref="C107:C111" si="86">C95*1.1</f>
        <v>0</v>
      </c>
      <c r="D107" s="20">
        <v>944531.4</v>
      </c>
      <c r="E107" s="20">
        <f t="shared" si="76"/>
        <v>2451970.0973716495</v>
      </c>
      <c r="F107" s="20">
        <v>8107627.865714998</v>
      </c>
      <c r="G107" s="20">
        <v>0.12</v>
      </c>
      <c r="H107" s="20">
        <f t="shared" si="82"/>
        <v>4711126.3683433477</v>
      </c>
      <c r="I107" s="20">
        <f t="shared" si="85"/>
        <v>6157690.1531547988</v>
      </c>
      <c r="J107" s="22"/>
      <c r="M107" s="20">
        <v>2026</v>
      </c>
      <c r="N107" s="20">
        <f t="shared" si="83"/>
        <v>1053991.6225429499</v>
      </c>
      <c r="O107" s="20">
        <f t="shared" si="77"/>
        <v>0</v>
      </c>
      <c r="P107" s="20">
        <f t="shared" si="78"/>
        <v>0</v>
      </c>
      <c r="Q107" s="20">
        <f t="shared" si="79"/>
        <v>61394.541000000005</v>
      </c>
      <c r="R107" s="20">
        <f t="shared" si="84"/>
        <v>992597.08154294989</v>
      </c>
      <c r="S107" s="20">
        <f>措施后变化!F107*0.06</f>
        <v>486457.67194289988</v>
      </c>
      <c r="T107" s="20">
        <f t="shared" si="80"/>
        <v>972915.34388579975</v>
      </c>
    </row>
    <row r="108" spans="1:20" x14ac:dyDescent="0.15">
      <c r="A108" s="20">
        <v>2027</v>
      </c>
      <c r="B108" s="20">
        <v>0</v>
      </c>
      <c r="C108" s="20">
        <f t="shared" si="86"/>
        <v>0</v>
      </c>
      <c r="D108" s="20">
        <v>847710.8</v>
      </c>
      <c r="E108" s="20">
        <f t="shared" si="76"/>
        <v>2003037.8382857004</v>
      </c>
      <c r="F108" s="20">
        <v>6639158.1944700014</v>
      </c>
      <c r="G108" s="20">
        <v>0.12</v>
      </c>
      <c r="H108" s="20">
        <f t="shared" si="82"/>
        <v>3788409.5561843012</v>
      </c>
      <c r="I108" s="20">
        <f t="shared" si="85"/>
        <v>9946099.7093391009</v>
      </c>
      <c r="J108" s="22"/>
      <c r="M108" s="20">
        <v>2027</v>
      </c>
      <c r="N108" s="20">
        <f t="shared" si="83"/>
        <v>863090.56528110022</v>
      </c>
      <c r="O108" s="20">
        <f t="shared" si="77"/>
        <v>0</v>
      </c>
      <c r="P108" s="20">
        <f t="shared" si="78"/>
        <v>0</v>
      </c>
      <c r="Q108" s="20">
        <f t="shared" si="79"/>
        <v>55101.202000000005</v>
      </c>
      <c r="R108" s="20">
        <f t="shared" si="84"/>
        <v>807989.36328110017</v>
      </c>
      <c r="S108" s="20">
        <f>措施后变化!F108*0.06</f>
        <v>398349.49166820006</v>
      </c>
      <c r="T108" s="20">
        <f t="shared" si="80"/>
        <v>796698.98333640012</v>
      </c>
    </row>
    <row r="109" spans="1:20" x14ac:dyDescent="0.15">
      <c r="A109" s="20">
        <v>2028</v>
      </c>
      <c r="B109" s="20">
        <v>0</v>
      </c>
      <c r="C109" s="20">
        <f t="shared" si="86"/>
        <v>0</v>
      </c>
      <c r="D109" s="20">
        <v>704472.6</v>
      </c>
      <c r="E109" s="20">
        <f t="shared" si="76"/>
        <v>1381476.1089269998</v>
      </c>
      <c r="F109" s="20">
        <v>4604086.5416999999</v>
      </c>
      <c r="G109" s="20">
        <v>0.12</v>
      </c>
      <c r="H109" s="20">
        <f t="shared" si="82"/>
        <v>2518137.832773</v>
      </c>
      <c r="I109" s="20">
        <f t="shared" si="85"/>
        <v>12464237.542112101</v>
      </c>
      <c r="J109" s="22"/>
      <c r="M109" s="20">
        <v>2028</v>
      </c>
      <c r="N109" s="20">
        <f t="shared" si="83"/>
        <v>598531.25042100006</v>
      </c>
      <c r="O109" s="20">
        <f t="shared" si="77"/>
        <v>0</v>
      </c>
      <c r="P109" s="20">
        <f t="shared" si="78"/>
        <v>0</v>
      </c>
      <c r="Q109" s="20">
        <f t="shared" si="79"/>
        <v>45790.718999999997</v>
      </c>
      <c r="R109" s="20">
        <f t="shared" si="84"/>
        <v>552740.53142100002</v>
      </c>
      <c r="S109" s="20">
        <f>措施后变化!F109*0.06</f>
        <v>276245.19250199996</v>
      </c>
      <c r="T109" s="20">
        <f t="shared" si="80"/>
        <v>552490.38500399992</v>
      </c>
    </row>
    <row r="110" spans="1:20" x14ac:dyDescent="0.15">
      <c r="A110" s="20">
        <v>2029</v>
      </c>
      <c r="B110" s="20">
        <v>0</v>
      </c>
      <c r="C110" s="20">
        <f t="shared" si="86"/>
        <v>0</v>
      </c>
      <c r="D110" s="20">
        <v>587286.15</v>
      </c>
      <c r="E110" s="20">
        <f t="shared" si="76"/>
        <v>871842.21635692497</v>
      </c>
      <c r="F110" s="20">
        <v>2935534.8906675</v>
      </c>
      <c r="G110" s="20">
        <v>0.12</v>
      </c>
      <c r="H110" s="20">
        <f t="shared" si="82"/>
        <v>1476406.5243105749</v>
      </c>
      <c r="I110" s="20">
        <f t="shared" si="85"/>
        <v>13940644.066422675</v>
      </c>
      <c r="J110" s="22"/>
      <c r="M110" s="20">
        <v>2029</v>
      </c>
      <c r="N110" s="20">
        <f t="shared" si="83"/>
        <v>381619.535786775</v>
      </c>
      <c r="O110" s="20">
        <f t="shared" si="77"/>
        <v>0</v>
      </c>
      <c r="P110" s="20">
        <f t="shared" si="78"/>
        <v>0</v>
      </c>
      <c r="Q110" s="20">
        <f t="shared" si="79"/>
        <v>38173.599750000001</v>
      </c>
      <c r="R110" s="20">
        <f t="shared" si="84"/>
        <v>343445.93603677501</v>
      </c>
      <c r="S110" s="20">
        <f>措施后变化!F110*0.06</f>
        <v>176132.09344005</v>
      </c>
      <c r="T110" s="20">
        <f t="shared" si="80"/>
        <v>352264.18688009999</v>
      </c>
    </row>
    <row r="111" spans="1:20" x14ac:dyDescent="0.15">
      <c r="A111" s="20">
        <v>2030</v>
      </c>
      <c r="B111" s="20">
        <v>0</v>
      </c>
      <c r="C111" s="20">
        <f t="shared" si="86"/>
        <v>0</v>
      </c>
      <c r="D111" s="20">
        <v>550839.19999999995</v>
      </c>
      <c r="E111" s="20">
        <f t="shared" si="76"/>
        <v>625661.2366855999</v>
      </c>
      <c r="F111" s="20">
        <v>2133760.5957599995</v>
      </c>
      <c r="G111" s="20">
        <v>0.12</v>
      </c>
      <c r="H111" s="20">
        <f t="shared" si="82"/>
        <v>957260.15907439962</v>
      </c>
      <c r="I111" s="20">
        <f t="shared" si="85"/>
        <v>14897904.225497074</v>
      </c>
      <c r="J111" s="22"/>
      <c r="M111" s="20">
        <v>2030</v>
      </c>
      <c r="N111" s="20">
        <f t="shared" si="83"/>
        <v>277388.87744879996</v>
      </c>
      <c r="O111" s="20">
        <f t="shared" si="77"/>
        <v>0</v>
      </c>
      <c r="P111" s="20">
        <f t="shared" si="78"/>
        <v>0</v>
      </c>
      <c r="Q111" s="20">
        <f t="shared" si="79"/>
        <v>35804.547999999995</v>
      </c>
      <c r="R111" s="20">
        <f t="shared" si="84"/>
        <v>241584.32944879995</v>
      </c>
      <c r="S111" s="20">
        <f>措施后变化!F111*0.06</f>
        <v>128025.63574559997</v>
      </c>
      <c r="T111" s="20">
        <f t="shared" si="80"/>
        <v>256051.27149119994</v>
      </c>
    </row>
    <row r="113" spans="1:20" x14ac:dyDescent="0.15">
      <c r="A113" s="20" t="s">
        <v>0</v>
      </c>
      <c r="B113" s="20" t="s">
        <v>95</v>
      </c>
      <c r="C113" s="20" t="s">
        <v>3</v>
      </c>
      <c r="D113" s="20" t="s">
        <v>5</v>
      </c>
      <c r="E113" s="20" t="s">
        <v>71</v>
      </c>
      <c r="F113" s="20" t="s">
        <v>84</v>
      </c>
      <c r="G113" s="20" t="s">
        <v>7</v>
      </c>
      <c r="H113" s="20" t="s">
        <v>92</v>
      </c>
      <c r="I113" s="20" t="s">
        <v>99</v>
      </c>
      <c r="J113" s="20" t="s">
        <v>94</v>
      </c>
      <c r="K113" s="20" t="s">
        <v>109</v>
      </c>
      <c r="N113" s="20" t="s">
        <v>73</v>
      </c>
      <c r="O113" s="20" t="s">
        <v>86</v>
      </c>
      <c r="P113" s="20" t="s">
        <v>106</v>
      </c>
      <c r="Q113" s="20" t="s">
        <v>89</v>
      </c>
      <c r="R113" s="20" t="s">
        <v>75</v>
      </c>
      <c r="S113" s="20" t="s">
        <v>77</v>
      </c>
      <c r="T113" s="20" t="s">
        <v>103</v>
      </c>
    </row>
    <row r="114" spans="1:20" x14ac:dyDescent="0.15">
      <c r="A114" s="20">
        <v>2021</v>
      </c>
      <c r="B114" s="20">
        <v>1820000</v>
      </c>
      <c r="C114" s="20">
        <f>C102*1.3</f>
        <v>2219474.4</v>
      </c>
      <c r="D114" s="20">
        <v>37247.400000000052</v>
      </c>
      <c r="E114" s="20">
        <f t="shared" ref="E114:E123" si="87">R114+S114+T114</f>
        <v>44636.413594500074</v>
      </c>
      <c r="F114" s="20">
        <v>247980.0755250004</v>
      </c>
      <c r="G114" s="20">
        <v>0.12</v>
      </c>
      <c r="H114" s="20">
        <f>F114-E114-D114-C114-B114</f>
        <v>-3873378.1380694997</v>
      </c>
      <c r="I114" s="20">
        <f>H114</f>
        <v>-3873378.1380694997</v>
      </c>
      <c r="J114" s="22">
        <f>IRR(H114:H123)</f>
        <v>0.20364434483419336</v>
      </c>
      <c r="K114" s="20" t="s">
        <v>119</v>
      </c>
      <c r="M114" s="20">
        <v>2021</v>
      </c>
      <c r="N114" s="20">
        <f>F114*0.13</f>
        <v>32237.409818250053</v>
      </c>
      <c r="O114" s="20">
        <f t="shared" ref="O114:O123" si="88">B114*0.13</f>
        <v>236600</v>
      </c>
      <c r="P114" s="20">
        <f t="shared" ref="P114:P123" si="89">C114*0.13*0.8</f>
        <v>230825.33760000003</v>
      </c>
      <c r="Q114" s="20">
        <f t="shared" ref="Q114:Q123" si="90">D114*0.13*0.5</f>
        <v>2421.0810000000033</v>
      </c>
      <c r="R114" s="20">
        <f>IF(N114-O114-P114-Q114&gt;0,N114-O114-P114-Q114,0)</f>
        <v>0</v>
      </c>
      <c r="S114" s="20">
        <f>措施后变化!F114*0.06</f>
        <v>14878.804531500024</v>
      </c>
      <c r="T114" s="20">
        <f t="shared" ref="T114:T123" si="91">F114*0.12</f>
        <v>29757.609063000047</v>
      </c>
    </row>
    <row r="115" spans="1:20" x14ac:dyDescent="0.15">
      <c r="A115" s="20">
        <v>2022</v>
      </c>
      <c r="B115" s="20">
        <v>0</v>
      </c>
      <c r="C115" s="20">
        <f t="shared" ref="C115:C118" si="92">C103*1.3</f>
        <v>6389568.9000000004</v>
      </c>
      <c r="D115" s="20">
        <v>306445.80000000005</v>
      </c>
      <c r="E115" s="20">
        <f t="shared" si="87"/>
        <v>687302.66734739987</v>
      </c>
      <c r="F115" s="20">
        <v>3818348.1519299992</v>
      </c>
      <c r="G115" s="20">
        <v>0.12</v>
      </c>
      <c r="H115" s="20">
        <f t="shared" ref="H115:H123" si="93">F115-E115-D115-C115-B115</f>
        <v>-3564969.2154174009</v>
      </c>
      <c r="I115" s="20">
        <f>I114+H115</f>
        <v>-7438347.3534869011</v>
      </c>
      <c r="J115" s="22"/>
      <c r="M115" s="20">
        <v>2022</v>
      </c>
      <c r="N115" s="20">
        <f t="shared" ref="N115:N123" si="94">F115*0.13</f>
        <v>496385.25975089992</v>
      </c>
      <c r="O115" s="20">
        <f t="shared" si="88"/>
        <v>0</v>
      </c>
      <c r="P115" s="20">
        <f t="shared" si="89"/>
        <v>664515.16560000007</v>
      </c>
      <c r="Q115" s="20">
        <f t="shared" si="90"/>
        <v>19918.977000000003</v>
      </c>
      <c r="R115" s="20">
        <f t="shared" ref="R115:R123" si="95">IF(N115-O115-P115-Q115&gt;0,N115-O115-P115-Q115,0)</f>
        <v>0</v>
      </c>
      <c r="S115" s="20">
        <f>措施后变化!F115*0.06</f>
        <v>229100.88911579995</v>
      </c>
      <c r="T115" s="20">
        <f t="shared" si="91"/>
        <v>458201.77823159989</v>
      </c>
    </row>
    <row r="116" spans="1:20" x14ac:dyDescent="0.15">
      <c r="A116" s="20">
        <v>2023</v>
      </c>
      <c r="B116" s="20">
        <v>0</v>
      </c>
      <c r="C116" s="20">
        <f t="shared" si="92"/>
        <v>3624365.3160000001</v>
      </c>
      <c r="D116" s="20">
        <v>426277.19999999995</v>
      </c>
      <c r="E116" s="20">
        <f t="shared" si="87"/>
        <v>947921.39576519968</v>
      </c>
      <c r="F116" s="20">
        <v>4363107.763319999</v>
      </c>
      <c r="G116" s="20">
        <v>0.12</v>
      </c>
      <c r="H116" s="20">
        <f t="shared" si="93"/>
        <v>-635456.14844520064</v>
      </c>
      <c r="I116" s="20">
        <f>I115+H116</f>
        <v>-8073803.5019321013</v>
      </c>
      <c r="J116" s="22"/>
      <c r="M116" s="20">
        <v>2023</v>
      </c>
      <c r="N116" s="20">
        <f t="shared" si="94"/>
        <v>567204.00923159986</v>
      </c>
      <c r="O116" s="20">
        <f t="shared" si="88"/>
        <v>0</v>
      </c>
      <c r="P116" s="20">
        <f t="shared" si="89"/>
        <v>376933.99286400003</v>
      </c>
      <c r="Q116" s="20">
        <f t="shared" si="90"/>
        <v>27708.017999999996</v>
      </c>
      <c r="R116" s="20">
        <f t="shared" si="95"/>
        <v>162561.99836759985</v>
      </c>
      <c r="S116" s="20">
        <f>措施后变化!F116*0.06</f>
        <v>261786.46579919994</v>
      </c>
      <c r="T116" s="20">
        <f t="shared" si="91"/>
        <v>523572.93159839988</v>
      </c>
    </row>
    <row r="117" spans="1:20" x14ac:dyDescent="0.15">
      <c r="A117" s="20">
        <v>2024</v>
      </c>
      <c r="B117" s="20">
        <v>0</v>
      </c>
      <c r="C117" s="20">
        <f t="shared" si="92"/>
        <v>3217810.5959999999</v>
      </c>
      <c r="D117" s="20">
        <v>721911.2</v>
      </c>
      <c r="E117" s="20">
        <f t="shared" si="87"/>
        <v>2287680.1644883999</v>
      </c>
      <c r="F117" s="20">
        <v>8610505.4660400003</v>
      </c>
      <c r="G117" s="20">
        <v>0.12</v>
      </c>
      <c r="H117" s="20">
        <f t="shared" si="93"/>
        <v>2383103.5055516008</v>
      </c>
      <c r="I117" s="20">
        <f t="shared" ref="I117:I123" si="96">I116+H117</f>
        <v>-5690699.9963805005</v>
      </c>
      <c r="J117" s="22"/>
      <c r="M117" s="20">
        <v>2024</v>
      </c>
      <c r="N117" s="20">
        <f t="shared" si="94"/>
        <v>1119365.7105852</v>
      </c>
      <c r="O117" s="20">
        <f t="shared" si="88"/>
        <v>0</v>
      </c>
      <c r="P117" s="20">
        <f t="shared" si="89"/>
        <v>334652.30198400002</v>
      </c>
      <c r="Q117" s="20">
        <f t="shared" si="90"/>
        <v>46924.227999999996</v>
      </c>
      <c r="R117" s="20">
        <f t="shared" si="95"/>
        <v>737789.18060119997</v>
      </c>
      <c r="S117" s="20">
        <f>措施后变化!F117*0.06</f>
        <v>516630.32796239998</v>
      </c>
      <c r="T117" s="20">
        <f t="shared" si="91"/>
        <v>1033260.6559248</v>
      </c>
    </row>
    <row r="118" spans="1:20" x14ac:dyDescent="0.15">
      <c r="A118" s="20">
        <v>2025</v>
      </c>
      <c r="B118" s="20">
        <v>0</v>
      </c>
      <c r="C118" s="20">
        <f t="shared" si="92"/>
        <v>1898520.6240000003</v>
      </c>
      <c r="D118" s="20">
        <v>929850.10000000009</v>
      </c>
      <c r="E118" s="20">
        <f t="shared" si="87"/>
        <v>2399010.6977990507</v>
      </c>
      <c r="F118" s="20">
        <v>8570635.8038550019</v>
      </c>
      <c r="G118" s="20">
        <v>0.12</v>
      </c>
      <c r="H118" s="20">
        <f t="shared" si="93"/>
        <v>3343254.3820559508</v>
      </c>
      <c r="I118" s="20">
        <f t="shared" si="96"/>
        <v>-2347445.6143245497</v>
      </c>
      <c r="J118" s="22"/>
      <c r="M118" s="20">
        <v>2025</v>
      </c>
      <c r="N118" s="20">
        <f t="shared" si="94"/>
        <v>1114182.6545011504</v>
      </c>
      <c r="O118" s="20">
        <f t="shared" si="88"/>
        <v>0</v>
      </c>
      <c r="P118" s="20">
        <f t="shared" si="89"/>
        <v>197446.14489600004</v>
      </c>
      <c r="Q118" s="20">
        <f t="shared" si="90"/>
        <v>60440.25650000001</v>
      </c>
      <c r="R118" s="20">
        <f t="shared" si="95"/>
        <v>856296.2531051503</v>
      </c>
      <c r="S118" s="20">
        <f>措施后变化!F118*0.06</f>
        <v>514238.14823130012</v>
      </c>
      <c r="T118" s="20">
        <f t="shared" si="91"/>
        <v>1028476.2964626002</v>
      </c>
    </row>
    <row r="119" spans="1:20" x14ac:dyDescent="0.15">
      <c r="A119" s="20">
        <v>2026</v>
      </c>
      <c r="B119" s="20">
        <v>0</v>
      </c>
      <c r="C119" s="20">
        <f t="shared" ref="C119:C123" si="97">C107*1.1</f>
        <v>0</v>
      </c>
      <c r="D119" s="20">
        <v>944531.4</v>
      </c>
      <c r="E119" s="20">
        <f t="shared" si="87"/>
        <v>2451970.0973716495</v>
      </c>
      <c r="F119" s="20">
        <v>8107627.865714998</v>
      </c>
      <c r="G119" s="20">
        <v>0.12</v>
      </c>
      <c r="H119" s="20">
        <f t="shared" si="93"/>
        <v>4711126.3683433477</v>
      </c>
      <c r="I119" s="20">
        <f t="shared" si="96"/>
        <v>2363680.754018798</v>
      </c>
      <c r="J119" s="22"/>
      <c r="M119" s="20">
        <v>2026</v>
      </c>
      <c r="N119" s="20">
        <f t="shared" si="94"/>
        <v>1053991.6225429499</v>
      </c>
      <c r="O119" s="20">
        <f t="shared" si="88"/>
        <v>0</v>
      </c>
      <c r="P119" s="20">
        <f t="shared" si="89"/>
        <v>0</v>
      </c>
      <c r="Q119" s="20">
        <f t="shared" si="90"/>
        <v>61394.541000000005</v>
      </c>
      <c r="R119" s="20">
        <f t="shared" si="95"/>
        <v>992597.08154294989</v>
      </c>
      <c r="S119" s="20">
        <f>措施后变化!F119*0.06</f>
        <v>486457.67194289988</v>
      </c>
      <c r="T119" s="20">
        <f t="shared" si="91"/>
        <v>972915.34388579975</v>
      </c>
    </row>
    <row r="120" spans="1:20" x14ac:dyDescent="0.15">
      <c r="A120" s="20">
        <v>2027</v>
      </c>
      <c r="B120" s="20">
        <v>0</v>
      </c>
      <c r="C120" s="20">
        <f t="shared" si="97"/>
        <v>0</v>
      </c>
      <c r="D120" s="20">
        <v>847710.8</v>
      </c>
      <c r="E120" s="20">
        <f t="shared" si="87"/>
        <v>2003037.8382857004</v>
      </c>
      <c r="F120" s="20">
        <v>6639158.1944700014</v>
      </c>
      <c r="G120" s="20">
        <v>0.12</v>
      </c>
      <c r="H120" s="20">
        <f t="shared" si="93"/>
        <v>3788409.5561843012</v>
      </c>
      <c r="I120" s="20">
        <f t="shared" si="96"/>
        <v>6152090.3102030996</v>
      </c>
      <c r="J120" s="22"/>
      <c r="M120" s="20">
        <v>2027</v>
      </c>
      <c r="N120" s="20">
        <f t="shared" si="94"/>
        <v>863090.56528110022</v>
      </c>
      <c r="O120" s="20">
        <f t="shared" si="88"/>
        <v>0</v>
      </c>
      <c r="P120" s="20">
        <f t="shared" si="89"/>
        <v>0</v>
      </c>
      <c r="Q120" s="20">
        <f t="shared" si="90"/>
        <v>55101.202000000005</v>
      </c>
      <c r="R120" s="20">
        <f t="shared" si="95"/>
        <v>807989.36328110017</v>
      </c>
      <c r="S120" s="20">
        <f>措施后变化!F120*0.06</f>
        <v>398349.49166820006</v>
      </c>
      <c r="T120" s="20">
        <f t="shared" si="91"/>
        <v>796698.98333640012</v>
      </c>
    </row>
    <row r="121" spans="1:20" x14ac:dyDescent="0.15">
      <c r="A121" s="20">
        <v>2028</v>
      </c>
      <c r="B121" s="20">
        <v>0</v>
      </c>
      <c r="C121" s="20">
        <f t="shared" si="97"/>
        <v>0</v>
      </c>
      <c r="D121" s="20">
        <v>704472.6</v>
      </c>
      <c r="E121" s="20">
        <f t="shared" si="87"/>
        <v>1381476.1089269998</v>
      </c>
      <c r="F121" s="20">
        <v>4604086.5416999999</v>
      </c>
      <c r="G121" s="20">
        <v>0.12</v>
      </c>
      <c r="H121" s="20">
        <f t="shared" si="93"/>
        <v>2518137.832773</v>
      </c>
      <c r="I121" s="20">
        <f t="shared" si="96"/>
        <v>8670228.1429760996</v>
      </c>
      <c r="J121" s="22"/>
      <c r="M121" s="20">
        <v>2028</v>
      </c>
      <c r="N121" s="20">
        <f t="shared" si="94"/>
        <v>598531.25042100006</v>
      </c>
      <c r="O121" s="20">
        <f t="shared" si="88"/>
        <v>0</v>
      </c>
      <c r="P121" s="20">
        <f t="shared" si="89"/>
        <v>0</v>
      </c>
      <c r="Q121" s="20">
        <f t="shared" si="90"/>
        <v>45790.718999999997</v>
      </c>
      <c r="R121" s="20">
        <f t="shared" si="95"/>
        <v>552740.53142100002</v>
      </c>
      <c r="S121" s="20">
        <f>措施后变化!F121*0.06</f>
        <v>276245.19250199996</v>
      </c>
      <c r="T121" s="20">
        <f t="shared" si="91"/>
        <v>552490.38500399992</v>
      </c>
    </row>
    <row r="122" spans="1:20" x14ac:dyDescent="0.15">
      <c r="A122" s="20">
        <v>2029</v>
      </c>
      <c r="B122" s="20">
        <v>0</v>
      </c>
      <c r="C122" s="20">
        <f t="shared" si="97"/>
        <v>0</v>
      </c>
      <c r="D122" s="20">
        <v>587286.15</v>
      </c>
      <c r="E122" s="20">
        <f t="shared" si="87"/>
        <v>871842.21635692497</v>
      </c>
      <c r="F122" s="20">
        <v>2935534.8906675</v>
      </c>
      <c r="G122" s="20">
        <v>0.12</v>
      </c>
      <c r="H122" s="20">
        <f t="shared" si="93"/>
        <v>1476406.5243105749</v>
      </c>
      <c r="I122" s="20">
        <f t="shared" si="96"/>
        <v>10146634.667286675</v>
      </c>
      <c r="J122" s="22"/>
      <c r="M122" s="20">
        <v>2029</v>
      </c>
      <c r="N122" s="20">
        <f t="shared" si="94"/>
        <v>381619.535786775</v>
      </c>
      <c r="O122" s="20">
        <f t="shared" si="88"/>
        <v>0</v>
      </c>
      <c r="P122" s="20">
        <f t="shared" si="89"/>
        <v>0</v>
      </c>
      <c r="Q122" s="20">
        <f t="shared" si="90"/>
        <v>38173.599750000001</v>
      </c>
      <c r="R122" s="20">
        <f t="shared" si="95"/>
        <v>343445.93603677501</v>
      </c>
      <c r="S122" s="20">
        <f>措施后变化!F122*0.06</f>
        <v>176132.09344005</v>
      </c>
      <c r="T122" s="20">
        <f t="shared" si="91"/>
        <v>352264.18688009999</v>
      </c>
    </row>
    <row r="123" spans="1:20" x14ac:dyDescent="0.15">
      <c r="A123" s="20">
        <v>2030</v>
      </c>
      <c r="B123" s="20">
        <v>0</v>
      </c>
      <c r="C123" s="20">
        <f t="shared" si="97"/>
        <v>0</v>
      </c>
      <c r="D123" s="20">
        <v>550839.19999999995</v>
      </c>
      <c r="E123" s="20">
        <f t="shared" si="87"/>
        <v>625661.2366855999</v>
      </c>
      <c r="F123" s="20">
        <v>2133760.5957599995</v>
      </c>
      <c r="G123" s="20">
        <v>0.12</v>
      </c>
      <c r="H123" s="20">
        <f t="shared" si="93"/>
        <v>957260.15907439962</v>
      </c>
      <c r="I123" s="20">
        <f t="shared" si="96"/>
        <v>11103894.826361075</v>
      </c>
      <c r="J123" s="22"/>
      <c r="M123" s="20">
        <v>2030</v>
      </c>
      <c r="N123" s="20">
        <f t="shared" si="94"/>
        <v>277388.87744879996</v>
      </c>
      <c r="O123" s="20">
        <f t="shared" si="88"/>
        <v>0</v>
      </c>
      <c r="P123" s="20">
        <f t="shared" si="89"/>
        <v>0</v>
      </c>
      <c r="Q123" s="20">
        <f t="shared" si="90"/>
        <v>35804.547999999995</v>
      </c>
      <c r="R123" s="20">
        <f t="shared" si="95"/>
        <v>241584.32944879995</v>
      </c>
      <c r="S123" s="20">
        <f>措施后变化!F123*0.06</f>
        <v>128025.63574559997</v>
      </c>
      <c r="T123" s="20">
        <f t="shared" si="91"/>
        <v>256051.27149119994</v>
      </c>
    </row>
    <row r="125" spans="1:20" x14ac:dyDescent="0.15">
      <c r="A125" s="20" t="s">
        <v>0</v>
      </c>
      <c r="B125" s="20" t="s">
        <v>95</v>
      </c>
      <c r="C125" s="20" t="s">
        <v>3</v>
      </c>
      <c r="D125" s="20" t="s">
        <v>5</v>
      </c>
      <c r="E125" s="20" t="s">
        <v>71</v>
      </c>
      <c r="F125" s="20" t="s">
        <v>84</v>
      </c>
      <c r="G125" s="20" t="s">
        <v>7</v>
      </c>
      <c r="H125" s="20" t="s">
        <v>92</v>
      </c>
      <c r="I125" s="20" t="s">
        <v>99</v>
      </c>
      <c r="J125" s="20" t="s">
        <v>94</v>
      </c>
      <c r="K125" s="20" t="s">
        <v>109</v>
      </c>
      <c r="N125" s="20" t="s">
        <v>73</v>
      </c>
      <c r="O125" s="20" t="s">
        <v>86</v>
      </c>
      <c r="P125" s="20" t="s">
        <v>106</v>
      </c>
      <c r="Q125" s="20" t="s">
        <v>89</v>
      </c>
      <c r="R125" s="20" t="s">
        <v>75</v>
      </c>
      <c r="S125" s="20" t="s">
        <v>77</v>
      </c>
      <c r="T125" s="20" t="s">
        <v>103</v>
      </c>
    </row>
    <row r="126" spans="1:20" x14ac:dyDescent="0.15">
      <c r="A126" s="20">
        <v>2021</v>
      </c>
      <c r="B126" s="20">
        <v>1820000</v>
      </c>
      <c r="C126" s="20">
        <f>C114*1.4</f>
        <v>3107264.1599999997</v>
      </c>
      <c r="D126" s="20">
        <v>37247.400000000052</v>
      </c>
      <c r="E126" s="20">
        <f t="shared" ref="E126:E135" si="98">R126+S126+T126</f>
        <v>44636.413594500074</v>
      </c>
      <c r="F126" s="20">
        <v>247980.0755250004</v>
      </c>
      <c r="G126" s="20">
        <v>0.12</v>
      </c>
      <c r="H126" s="20">
        <f>F126-E126-D126-C126-B126</f>
        <v>-4761167.8980694991</v>
      </c>
      <c r="I126" s="20">
        <f>H126</f>
        <v>-4761167.8980694991</v>
      </c>
      <c r="J126" s="22">
        <f>IRR(H126:H135)</f>
        <v>6.435526419492188E-2</v>
      </c>
      <c r="K126" s="20" t="s">
        <v>120</v>
      </c>
      <c r="M126" s="20">
        <v>2021</v>
      </c>
      <c r="N126" s="20">
        <f>F126*0.13</f>
        <v>32237.409818250053</v>
      </c>
      <c r="O126" s="20">
        <f t="shared" ref="O126:O135" si="99">B126*0.13</f>
        <v>236600</v>
      </c>
      <c r="P126" s="20">
        <f t="shared" ref="P126:P135" si="100">C126*0.13*0.8</f>
        <v>323155.47263999999</v>
      </c>
      <c r="Q126" s="20">
        <f t="shared" ref="Q126:Q135" si="101">D126*0.13*0.5</f>
        <v>2421.0810000000033</v>
      </c>
      <c r="R126" s="20">
        <f>IF(N126-O126-P126-Q126&gt;0,N126-O126-P126-Q126,0)</f>
        <v>0</v>
      </c>
      <c r="S126" s="20">
        <f>措施后变化!F126*0.06</f>
        <v>14878.804531500024</v>
      </c>
      <c r="T126" s="20">
        <f t="shared" ref="T126:T135" si="102">F126*0.12</f>
        <v>29757.609063000047</v>
      </c>
    </row>
    <row r="127" spans="1:20" x14ac:dyDescent="0.15">
      <c r="A127" s="20">
        <v>2022</v>
      </c>
      <c r="B127" s="20">
        <v>0</v>
      </c>
      <c r="C127" s="20">
        <f t="shared" ref="C127:C130" si="103">C115*1.4</f>
        <v>8945396.459999999</v>
      </c>
      <c r="D127" s="20">
        <v>306445.80000000005</v>
      </c>
      <c r="E127" s="20">
        <f t="shared" si="98"/>
        <v>687302.66734739987</v>
      </c>
      <c r="F127" s="20">
        <v>3818348.1519299992</v>
      </c>
      <c r="G127" s="20">
        <v>0.12</v>
      </c>
      <c r="H127" s="20">
        <f t="shared" ref="H127:H135" si="104">F127-E127-D127-C127-B127</f>
        <v>-6120796.7754173996</v>
      </c>
      <c r="I127" s="20">
        <f>I126+H127</f>
        <v>-10881964.6734869</v>
      </c>
      <c r="J127" s="22"/>
      <c r="M127" s="20">
        <v>2022</v>
      </c>
      <c r="N127" s="20">
        <f t="shared" ref="N127:N135" si="105">F127*0.13</f>
        <v>496385.25975089992</v>
      </c>
      <c r="O127" s="20">
        <f t="shared" si="99"/>
        <v>0</v>
      </c>
      <c r="P127" s="20">
        <f t="shared" si="100"/>
        <v>930321.23184000002</v>
      </c>
      <c r="Q127" s="20">
        <f t="shared" si="101"/>
        <v>19918.977000000003</v>
      </c>
      <c r="R127" s="20">
        <f t="shared" ref="R127:R135" si="106">IF(N127-O127-P127-Q127&gt;0,N127-O127-P127-Q127,0)</f>
        <v>0</v>
      </c>
      <c r="S127" s="20">
        <f>措施后变化!F127*0.06</f>
        <v>229100.88911579995</v>
      </c>
      <c r="T127" s="20">
        <f t="shared" si="102"/>
        <v>458201.77823159989</v>
      </c>
    </row>
    <row r="128" spans="1:20" x14ac:dyDescent="0.15">
      <c r="A128" s="20">
        <v>2023</v>
      </c>
      <c r="B128" s="20">
        <v>0</v>
      </c>
      <c r="C128" s="20">
        <f t="shared" si="103"/>
        <v>5074111.4424000001</v>
      </c>
      <c r="D128" s="20">
        <v>426277.19999999995</v>
      </c>
      <c r="E128" s="20">
        <f t="shared" si="98"/>
        <v>797147.79861959966</v>
      </c>
      <c r="F128" s="20">
        <v>4363107.763319999</v>
      </c>
      <c r="G128" s="20">
        <v>0.12</v>
      </c>
      <c r="H128" s="20">
        <f t="shared" si="104"/>
        <v>-1934428.6776996003</v>
      </c>
      <c r="I128" s="20">
        <f>I127+H128</f>
        <v>-12816393.351186499</v>
      </c>
      <c r="J128" s="22"/>
      <c r="M128" s="20">
        <v>2023</v>
      </c>
      <c r="N128" s="20">
        <f t="shared" si="105"/>
        <v>567204.00923159986</v>
      </c>
      <c r="O128" s="20">
        <f t="shared" si="99"/>
        <v>0</v>
      </c>
      <c r="P128" s="20">
        <f t="shared" si="100"/>
        <v>527707.59000960004</v>
      </c>
      <c r="Q128" s="20">
        <f t="shared" si="101"/>
        <v>27708.017999999996</v>
      </c>
      <c r="R128" s="20">
        <f t="shared" si="106"/>
        <v>11788.401221999826</v>
      </c>
      <c r="S128" s="20">
        <f>措施后变化!F128*0.06</f>
        <v>261786.46579919994</v>
      </c>
      <c r="T128" s="20">
        <f t="shared" si="102"/>
        <v>523572.93159839988</v>
      </c>
    </row>
    <row r="129" spans="1:20" x14ac:dyDescent="0.15">
      <c r="A129" s="20">
        <v>2024</v>
      </c>
      <c r="B129" s="20">
        <v>0</v>
      </c>
      <c r="C129" s="20">
        <f t="shared" si="103"/>
        <v>4504934.8343999991</v>
      </c>
      <c r="D129" s="20">
        <v>721911.2</v>
      </c>
      <c r="E129" s="20">
        <f t="shared" si="98"/>
        <v>2153819.2436948</v>
      </c>
      <c r="F129" s="20">
        <v>8610505.4660400003</v>
      </c>
      <c r="G129" s="20">
        <v>0.12</v>
      </c>
      <c r="H129" s="20">
        <f t="shared" si="104"/>
        <v>1229840.1879452011</v>
      </c>
      <c r="I129" s="20">
        <f t="shared" ref="I129:I135" si="107">I128+H129</f>
        <v>-11586553.163241297</v>
      </c>
      <c r="J129" s="22"/>
      <c r="M129" s="20">
        <v>2024</v>
      </c>
      <c r="N129" s="20">
        <f t="shared" si="105"/>
        <v>1119365.7105852</v>
      </c>
      <c r="O129" s="20">
        <f t="shared" si="99"/>
        <v>0</v>
      </c>
      <c r="P129" s="20">
        <f t="shared" si="100"/>
        <v>468513.22277759993</v>
      </c>
      <c r="Q129" s="20">
        <f t="shared" si="101"/>
        <v>46924.227999999996</v>
      </c>
      <c r="R129" s="20">
        <f t="shared" si="106"/>
        <v>603928.25980760006</v>
      </c>
      <c r="S129" s="20">
        <f>措施后变化!F129*0.06</f>
        <v>516630.32796239998</v>
      </c>
      <c r="T129" s="20">
        <f t="shared" si="102"/>
        <v>1033260.6559248</v>
      </c>
    </row>
    <row r="130" spans="1:20" x14ac:dyDescent="0.15">
      <c r="A130" s="20">
        <v>2025</v>
      </c>
      <c r="B130" s="20">
        <v>0</v>
      </c>
      <c r="C130" s="20">
        <f t="shared" si="103"/>
        <v>2657928.8736</v>
      </c>
      <c r="D130" s="20">
        <v>929850.10000000009</v>
      </c>
      <c r="E130" s="20">
        <f t="shared" si="98"/>
        <v>2320032.2398406505</v>
      </c>
      <c r="F130" s="20">
        <v>8570635.8038550019</v>
      </c>
      <c r="G130" s="20">
        <v>0.12</v>
      </c>
      <c r="H130" s="20">
        <f t="shared" si="104"/>
        <v>2662824.5904143513</v>
      </c>
      <c r="I130" s="20">
        <f t="shared" si="107"/>
        <v>-8923728.5728269462</v>
      </c>
      <c r="J130" s="22"/>
      <c r="M130" s="20">
        <v>2025</v>
      </c>
      <c r="N130" s="20">
        <f t="shared" si="105"/>
        <v>1114182.6545011504</v>
      </c>
      <c r="O130" s="20">
        <f t="shared" si="99"/>
        <v>0</v>
      </c>
      <c r="P130" s="20">
        <f t="shared" si="100"/>
        <v>276424.60285440006</v>
      </c>
      <c r="Q130" s="20">
        <f t="shared" si="101"/>
        <v>60440.25650000001</v>
      </c>
      <c r="R130" s="20">
        <f t="shared" si="106"/>
        <v>777317.79514675029</v>
      </c>
      <c r="S130" s="20">
        <f>措施后变化!F130*0.06</f>
        <v>514238.14823130012</v>
      </c>
      <c r="T130" s="20">
        <f t="shared" si="102"/>
        <v>1028476.2964626002</v>
      </c>
    </row>
    <row r="131" spans="1:20" x14ac:dyDescent="0.15">
      <c r="A131" s="20">
        <v>2026</v>
      </c>
      <c r="B131" s="20">
        <v>0</v>
      </c>
      <c r="C131" s="20">
        <f t="shared" ref="C131:C135" si="108">C119*1.1</f>
        <v>0</v>
      </c>
      <c r="D131" s="20">
        <v>944531.4</v>
      </c>
      <c r="E131" s="20">
        <f t="shared" si="98"/>
        <v>2451970.0973716495</v>
      </c>
      <c r="F131" s="20">
        <v>8107627.865714998</v>
      </c>
      <c r="G131" s="20">
        <v>0.12</v>
      </c>
      <c r="H131" s="20">
        <f t="shared" si="104"/>
        <v>4711126.3683433477</v>
      </c>
      <c r="I131" s="20">
        <f t="shared" si="107"/>
        <v>-4212602.2044835985</v>
      </c>
      <c r="J131" s="22"/>
      <c r="M131" s="20">
        <v>2026</v>
      </c>
      <c r="N131" s="20">
        <f t="shared" si="105"/>
        <v>1053991.6225429499</v>
      </c>
      <c r="O131" s="20">
        <f t="shared" si="99"/>
        <v>0</v>
      </c>
      <c r="P131" s="20">
        <f t="shared" si="100"/>
        <v>0</v>
      </c>
      <c r="Q131" s="20">
        <f t="shared" si="101"/>
        <v>61394.541000000005</v>
      </c>
      <c r="R131" s="20">
        <f t="shared" si="106"/>
        <v>992597.08154294989</v>
      </c>
      <c r="S131" s="20">
        <f>措施后变化!F131*0.06</f>
        <v>486457.67194289988</v>
      </c>
      <c r="T131" s="20">
        <f t="shared" si="102"/>
        <v>972915.34388579975</v>
      </c>
    </row>
    <row r="132" spans="1:20" x14ac:dyDescent="0.15">
      <c r="A132" s="20">
        <v>2027</v>
      </c>
      <c r="B132" s="20">
        <v>0</v>
      </c>
      <c r="C132" s="20">
        <f t="shared" si="108"/>
        <v>0</v>
      </c>
      <c r="D132" s="20">
        <v>847710.8</v>
      </c>
      <c r="E132" s="20">
        <f t="shared" si="98"/>
        <v>2003037.8382857004</v>
      </c>
      <c r="F132" s="20">
        <v>6639158.1944700014</v>
      </c>
      <c r="G132" s="20">
        <v>0.12</v>
      </c>
      <c r="H132" s="20">
        <f t="shared" si="104"/>
        <v>3788409.5561843012</v>
      </c>
      <c r="I132" s="20">
        <f t="shared" si="107"/>
        <v>-424192.64829929732</v>
      </c>
      <c r="J132" s="22"/>
      <c r="M132" s="20">
        <v>2027</v>
      </c>
      <c r="N132" s="20">
        <f t="shared" si="105"/>
        <v>863090.56528110022</v>
      </c>
      <c r="O132" s="20">
        <f t="shared" si="99"/>
        <v>0</v>
      </c>
      <c r="P132" s="20">
        <f t="shared" si="100"/>
        <v>0</v>
      </c>
      <c r="Q132" s="20">
        <f t="shared" si="101"/>
        <v>55101.202000000005</v>
      </c>
      <c r="R132" s="20">
        <f t="shared" si="106"/>
        <v>807989.36328110017</v>
      </c>
      <c r="S132" s="20">
        <f>措施后变化!F132*0.06</f>
        <v>398349.49166820006</v>
      </c>
      <c r="T132" s="20">
        <f t="shared" si="102"/>
        <v>796698.98333640012</v>
      </c>
    </row>
    <row r="133" spans="1:20" x14ac:dyDescent="0.15">
      <c r="A133" s="20">
        <v>2028</v>
      </c>
      <c r="B133" s="20">
        <v>0</v>
      </c>
      <c r="C133" s="20">
        <f t="shared" si="108"/>
        <v>0</v>
      </c>
      <c r="D133" s="20">
        <v>704472.6</v>
      </c>
      <c r="E133" s="20">
        <f t="shared" si="98"/>
        <v>1381476.1089269998</v>
      </c>
      <c r="F133" s="20">
        <v>4604086.5416999999</v>
      </c>
      <c r="G133" s="20">
        <v>0.12</v>
      </c>
      <c r="H133" s="20">
        <f t="shared" si="104"/>
        <v>2518137.832773</v>
      </c>
      <c r="I133" s="20">
        <f t="shared" si="107"/>
        <v>2093945.1844737027</v>
      </c>
      <c r="J133" s="22"/>
      <c r="M133" s="20">
        <v>2028</v>
      </c>
      <c r="N133" s="20">
        <f t="shared" si="105"/>
        <v>598531.25042100006</v>
      </c>
      <c r="O133" s="20">
        <f t="shared" si="99"/>
        <v>0</v>
      </c>
      <c r="P133" s="20">
        <f t="shared" si="100"/>
        <v>0</v>
      </c>
      <c r="Q133" s="20">
        <f t="shared" si="101"/>
        <v>45790.718999999997</v>
      </c>
      <c r="R133" s="20">
        <f t="shared" si="106"/>
        <v>552740.53142100002</v>
      </c>
      <c r="S133" s="20">
        <f>措施后变化!F133*0.06</f>
        <v>276245.19250199996</v>
      </c>
      <c r="T133" s="20">
        <f t="shared" si="102"/>
        <v>552490.38500399992</v>
      </c>
    </row>
    <row r="134" spans="1:20" x14ac:dyDescent="0.15">
      <c r="A134" s="20">
        <v>2029</v>
      </c>
      <c r="B134" s="20">
        <v>0</v>
      </c>
      <c r="C134" s="20">
        <f t="shared" si="108"/>
        <v>0</v>
      </c>
      <c r="D134" s="20">
        <v>587286.15</v>
      </c>
      <c r="E134" s="20">
        <f t="shared" si="98"/>
        <v>871842.21635692497</v>
      </c>
      <c r="F134" s="20">
        <v>2935534.8906675</v>
      </c>
      <c r="G134" s="20">
        <v>0.12</v>
      </c>
      <c r="H134" s="20">
        <f t="shared" si="104"/>
        <v>1476406.5243105749</v>
      </c>
      <c r="I134" s="20">
        <f t="shared" si="107"/>
        <v>3570351.7087842776</v>
      </c>
      <c r="J134" s="22"/>
      <c r="M134" s="20">
        <v>2029</v>
      </c>
      <c r="N134" s="20">
        <f t="shared" si="105"/>
        <v>381619.535786775</v>
      </c>
      <c r="O134" s="20">
        <f t="shared" si="99"/>
        <v>0</v>
      </c>
      <c r="P134" s="20">
        <f t="shared" si="100"/>
        <v>0</v>
      </c>
      <c r="Q134" s="20">
        <f t="shared" si="101"/>
        <v>38173.599750000001</v>
      </c>
      <c r="R134" s="20">
        <f t="shared" si="106"/>
        <v>343445.93603677501</v>
      </c>
      <c r="S134" s="20">
        <f>措施后变化!F134*0.06</f>
        <v>176132.09344005</v>
      </c>
      <c r="T134" s="20">
        <f t="shared" si="102"/>
        <v>352264.18688009999</v>
      </c>
    </row>
    <row r="135" spans="1:20" x14ac:dyDescent="0.15">
      <c r="A135" s="20">
        <v>2030</v>
      </c>
      <c r="B135" s="20">
        <v>0</v>
      </c>
      <c r="C135" s="20">
        <f t="shared" si="108"/>
        <v>0</v>
      </c>
      <c r="D135" s="20">
        <v>550839.19999999995</v>
      </c>
      <c r="E135" s="20">
        <f t="shared" si="98"/>
        <v>625661.2366855999</v>
      </c>
      <c r="F135" s="20">
        <v>2133760.5957599995</v>
      </c>
      <c r="G135" s="20">
        <v>0.12</v>
      </c>
      <c r="H135" s="20">
        <f t="shared" si="104"/>
        <v>957260.15907439962</v>
      </c>
      <c r="I135" s="20">
        <f t="shared" si="107"/>
        <v>4527611.8678586772</v>
      </c>
      <c r="J135" s="22"/>
      <c r="M135" s="20">
        <v>2030</v>
      </c>
      <c r="N135" s="20">
        <f t="shared" si="105"/>
        <v>277388.87744879996</v>
      </c>
      <c r="O135" s="20">
        <f t="shared" si="99"/>
        <v>0</v>
      </c>
      <c r="P135" s="20">
        <f t="shared" si="100"/>
        <v>0</v>
      </c>
      <c r="Q135" s="20">
        <f t="shared" si="101"/>
        <v>35804.547999999995</v>
      </c>
      <c r="R135" s="20">
        <f t="shared" si="106"/>
        <v>241584.32944879995</v>
      </c>
      <c r="S135" s="20">
        <f>措施后变化!F135*0.06</f>
        <v>128025.63574559997</v>
      </c>
      <c r="T135" s="20">
        <f t="shared" si="102"/>
        <v>256051.27149119994</v>
      </c>
    </row>
    <row r="137" spans="1:20" x14ac:dyDescent="0.15">
      <c r="A137" s="20" t="s">
        <v>0</v>
      </c>
      <c r="B137" s="20" t="s">
        <v>95</v>
      </c>
      <c r="C137" s="20" t="s">
        <v>3</v>
      </c>
      <c r="D137" s="20" t="s">
        <v>5</v>
      </c>
      <c r="E137" s="20" t="s">
        <v>71</v>
      </c>
      <c r="F137" s="20" t="s">
        <v>84</v>
      </c>
      <c r="G137" s="20" t="s">
        <v>7</v>
      </c>
      <c r="H137" s="20" t="s">
        <v>92</v>
      </c>
      <c r="I137" s="20" t="s">
        <v>99</v>
      </c>
      <c r="J137" s="20" t="s">
        <v>94</v>
      </c>
      <c r="K137" s="20" t="s">
        <v>109</v>
      </c>
      <c r="N137" s="20" t="s">
        <v>73</v>
      </c>
      <c r="O137" s="20" t="s">
        <v>86</v>
      </c>
      <c r="P137" s="20" t="s">
        <v>106</v>
      </c>
      <c r="Q137" s="20" t="s">
        <v>89</v>
      </c>
      <c r="R137" s="20" t="s">
        <v>75</v>
      </c>
      <c r="S137" s="20" t="s">
        <v>77</v>
      </c>
      <c r="T137" s="20" t="s">
        <v>103</v>
      </c>
    </row>
    <row r="138" spans="1:20" x14ac:dyDescent="0.15">
      <c r="A138" s="20">
        <v>2021</v>
      </c>
      <c r="B138" s="20">
        <v>1820000</v>
      </c>
      <c r="C138" s="20">
        <f>C126*1.5</f>
        <v>4660896.2399999993</v>
      </c>
      <c r="D138" s="20">
        <v>37247.400000000052</v>
      </c>
      <c r="E138" s="20">
        <f t="shared" ref="E138:E147" si="109">R138+S138+T138</f>
        <v>44636.413594500074</v>
      </c>
      <c r="F138" s="20">
        <v>247980.0755250004</v>
      </c>
      <c r="G138" s="20">
        <v>0.12</v>
      </c>
      <c r="H138" s="20">
        <f>F138-E138-D138-C138-B138</f>
        <v>-6314799.9780694991</v>
      </c>
      <c r="I138" s="20">
        <f>H138</f>
        <v>-6314799.9780694991</v>
      </c>
      <c r="J138" s="22">
        <f>IRR(H138:H147)</f>
        <v>-7.4464960238893929E-2</v>
      </c>
      <c r="K138" s="20" t="s">
        <v>121</v>
      </c>
      <c r="M138" s="20">
        <v>2021</v>
      </c>
      <c r="N138" s="20">
        <f>F138*0.13</f>
        <v>32237.409818250053</v>
      </c>
      <c r="O138" s="20">
        <f t="shared" ref="O138:O147" si="110">B138*0.13</f>
        <v>236600</v>
      </c>
      <c r="P138" s="20">
        <f t="shared" ref="P138:P147" si="111">C138*0.13*0.8</f>
        <v>484733.20895999996</v>
      </c>
      <c r="Q138" s="20">
        <f t="shared" ref="Q138:Q147" si="112">D138*0.13*0.5</f>
        <v>2421.0810000000033</v>
      </c>
      <c r="R138" s="20">
        <f>IF(N138-O138-P138-Q138&gt;0,N138-O138-P138-Q138,0)</f>
        <v>0</v>
      </c>
      <c r="S138" s="20">
        <f>措施后变化!F138*0.06</f>
        <v>14878.804531500024</v>
      </c>
      <c r="T138" s="20">
        <f t="shared" ref="T138:T147" si="113">F138*0.12</f>
        <v>29757.609063000047</v>
      </c>
    </row>
    <row r="139" spans="1:20" x14ac:dyDescent="0.15">
      <c r="A139" s="20">
        <v>2022</v>
      </c>
      <c r="B139" s="20">
        <v>0</v>
      </c>
      <c r="C139" s="20">
        <f t="shared" ref="C139:C147" si="114">C127*1.5</f>
        <v>13418094.689999998</v>
      </c>
      <c r="D139" s="20">
        <v>306445.80000000005</v>
      </c>
      <c r="E139" s="20">
        <f t="shared" si="109"/>
        <v>687302.66734739987</v>
      </c>
      <c r="F139" s="20">
        <v>3818348.1519299992</v>
      </c>
      <c r="G139" s="20">
        <v>0.12</v>
      </c>
      <c r="H139" s="20">
        <f t="shared" ref="H139:H147" si="115">F139-E139-D139-C139-B139</f>
        <v>-10593495.005417399</v>
      </c>
      <c r="I139" s="20">
        <f>I138+H139</f>
        <v>-16908294.983486898</v>
      </c>
      <c r="J139" s="22"/>
      <c r="M139" s="20">
        <v>2022</v>
      </c>
      <c r="N139" s="20">
        <f t="shared" ref="N139:N147" si="116">F139*0.13</f>
        <v>496385.25975089992</v>
      </c>
      <c r="O139" s="20">
        <f t="shared" si="110"/>
        <v>0</v>
      </c>
      <c r="P139" s="20">
        <f t="shared" si="111"/>
        <v>1395481.8477599998</v>
      </c>
      <c r="Q139" s="20">
        <f t="shared" si="112"/>
        <v>19918.977000000003</v>
      </c>
      <c r="R139" s="20">
        <f t="shared" ref="R139:R147" si="117">IF(N139-O139-P139-Q139&gt;0,N139-O139-P139-Q139,0)</f>
        <v>0</v>
      </c>
      <c r="S139" s="20">
        <f>措施后变化!F139*0.06</f>
        <v>229100.88911579995</v>
      </c>
      <c r="T139" s="20">
        <f t="shared" si="113"/>
        <v>458201.77823159989</v>
      </c>
    </row>
    <row r="140" spans="1:20" x14ac:dyDescent="0.15">
      <c r="A140" s="20">
        <v>2023</v>
      </c>
      <c r="B140" s="20">
        <v>0</v>
      </c>
      <c r="C140" s="20">
        <f t="shared" si="114"/>
        <v>7611167.1635999996</v>
      </c>
      <c r="D140" s="20">
        <v>426277.19999999995</v>
      </c>
      <c r="E140" s="20">
        <f t="shared" si="109"/>
        <v>785359.39739759988</v>
      </c>
      <c r="F140" s="20">
        <v>4363107.763319999</v>
      </c>
      <c r="G140" s="20">
        <v>0.12</v>
      </c>
      <c r="H140" s="20">
        <f t="shared" si="115"/>
        <v>-4459695.9976776009</v>
      </c>
      <c r="I140" s="20">
        <f>I139+H140</f>
        <v>-21367990.9811645</v>
      </c>
      <c r="J140" s="22"/>
      <c r="M140" s="20">
        <v>2023</v>
      </c>
      <c r="N140" s="20">
        <f t="shared" si="116"/>
        <v>567204.00923159986</v>
      </c>
      <c r="O140" s="20">
        <f t="shared" si="110"/>
        <v>0</v>
      </c>
      <c r="P140" s="20">
        <f t="shared" si="111"/>
        <v>791561.3850144</v>
      </c>
      <c r="Q140" s="20">
        <f t="shared" si="112"/>
        <v>27708.017999999996</v>
      </c>
      <c r="R140" s="20">
        <f t="shared" si="117"/>
        <v>0</v>
      </c>
      <c r="S140" s="20">
        <f>措施后变化!F140*0.06</f>
        <v>261786.46579919994</v>
      </c>
      <c r="T140" s="20">
        <f t="shared" si="113"/>
        <v>523572.93159839988</v>
      </c>
    </row>
    <row r="141" spans="1:20" x14ac:dyDescent="0.15">
      <c r="A141" s="20">
        <v>2024</v>
      </c>
      <c r="B141" s="20">
        <v>0</v>
      </c>
      <c r="C141" s="20">
        <f t="shared" si="114"/>
        <v>6757402.2515999991</v>
      </c>
      <c r="D141" s="20">
        <v>721911.2</v>
      </c>
      <c r="E141" s="20">
        <f t="shared" si="109"/>
        <v>1919562.6323059998</v>
      </c>
      <c r="F141" s="20">
        <v>8610505.4660400003</v>
      </c>
      <c r="G141" s="20">
        <v>0.12</v>
      </c>
      <c r="H141" s="20">
        <f t="shared" si="115"/>
        <v>-788370.61786599923</v>
      </c>
      <c r="I141" s="20">
        <f t="shared" ref="I141:I147" si="118">I140+H141</f>
        <v>-22156361.599030498</v>
      </c>
      <c r="J141" s="22"/>
      <c r="M141" s="20">
        <v>2024</v>
      </c>
      <c r="N141" s="20">
        <f t="shared" si="116"/>
        <v>1119365.7105852</v>
      </c>
      <c r="O141" s="20">
        <f t="shared" si="110"/>
        <v>0</v>
      </c>
      <c r="P141" s="20">
        <f t="shared" si="111"/>
        <v>702769.83416640002</v>
      </c>
      <c r="Q141" s="20">
        <f t="shared" si="112"/>
        <v>46924.227999999996</v>
      </c>
      <c r="R141" s="20">
        <f t="shared" si="117"/>
        <v>369671.64841879997</v>
      </c>
      <c r="S141" s="20">
        <f>措施后变化!F141*0.06</f>
        <v>516630.32796239998</v>
      </c>
      <c r="T141" s="20">
        <f t="shared" si="113"/>
        <v>1033260.6559248</v>
      </c>
    </row>
    <row r="142" spans="1:20" x14ac:dyDescent="0.15">
      <c r="A142" s="20">
        <v>2025</v>
      </c>
      <c r="B142" s="20">
        <v>0</v>
      </c>
      <c r="C142" s="20">
        <f t="shared" si="114"/>
        <v>3986893.3103999998</v>
      </c>
      <c r="D142" s="20">
        <v>929850.10000000009</v>
      </c>
      <c r="E142" s="20">
        <f t="shared" si="109"/>
        <v>2181819.9384134505</v>
      </c>
      <c r="F142" s="20">
        <v>8570635.8038550019</v>
      </c>
      <c r="G142" s="20">
        <v>0.12</v>
      </c>
      <c r="H142" s="20">
        <f t="shared" si="115"/>
        <v>1472072.455041552</v>
      </c>
      <c r="I142" s="20">
        <f t="shared" si="118"/>
        <v>-20684289.143988945</v>
      </c>
      <c r="J142" s="22"/>
      <c r="M142" s="20">
        <v>2025</v>
      </c>
      <c r="N142" s="20">
        <f t="shared" si="116"/>
        <v>1114182.6545011504</v>
      </c>
      <c r="O142" s="20">
        <f t="shared" si="110"/>
        <v>0</v>
      </c>
      <c r="P142" s="20">
        <f t="shared" si="111"/>
        <v>414636.90428160003</v>
      </c>
      <c r="Q142" s="20">
        <f t="shared" si="112"/>
        <v>60440.25650000001</v>
      </c>
      <c r="R142" s="20">
        <f t="shared" si="117"/>
        <v>639105.49371955032</v>
      </c>
      <c r="S142" s="20">
        <f>措施后变化!F142*0.06</f>
        <v>514238.14823130012</v>
      </c>
      <c r="T142" s="20">
        <f t="shared" si="113"/>
        <v>1028476.2964626002</v>
      </c>
    </row>
    <row r="143" spans="1:20" x14ac:dyDescent="0.15">
      <c r="A143" s="20">
        <v>2026</v>
      </c>
      <c r="B143" s="20">
        <v>0</v>
      </c>
      <c r="C143" s="20">
        <f t="shared" si="114"/>
        <v>0</v>
      </c>
      <c r="D143" s="20">
        <v>944531.4</v>
      </c>
      <c r="E143" s="20">
        <f t="shared" si="109"/>
        <v>2451970.0973716495</v>
      </c>
      <c r="F143" s="20">
        <v>8107627.865714998</v>
      </c>
      <c r="G143" s="20">
        <v>0.12</v>
      </c>
      <c r="H143" s="20">
        <f t="shared" si="115"/>
        <v>4711126.3683433477</v>
      </c>
      <c r="I143" s="20">
        <f t="shared" si="118"/>
        <v>-15973162.775645597</v>
      </c>
      <c r="J143" s="22"/>
      <c r="M143" s="20">
        <v>2026</v>
      </c>
      <c r="N143" s="20">
        <f t="shared" si="116"/>
        <v>1053991.6225429499</v>
      </c>
      <c r="O143" s="20">
        <f t="shared" si="110"/>
        <v>0</v>
      </c>
      <c r="P143" s="20">
        <f t="shared" si="111"/>
        <v>0</v>
      </c>
      <c r="Q143" s="20">
        <f t="shared" si="112"/>
        <v>61394.541000000005</v>
      </c>
      <c r="R143" s="20">
        <f t="shared" si="117"/>
        <v>992597.08154294989</v>
      </c>
      <c r="S143" s="20">
        <f>措施后变化!F143*0.06</f>
        <v>486457.67194289988</v>
      </c>
      <c r="T143" s="20">
        <f t="shared" si="113"/>
        <v>972915.34388579975</v>
      </c>
    </row>
    <row r="144" spans="1:20" x14ac:dyDescent="0.15">
      <c r="A144" s="20">
        <v>2027</v>
      </c>
      <c r="B144" s="20">
        <v>0</v>
      </c>
      <c r="C144" s="20">
        <f t="shared" si="114"/>
        <v>0</v>
      </c>
      <c r="D144" s="20">
        <v>847710.8</v>
      </c>
      <c r="E144" s="20">
        <f t="shared" si="109"/>
        <v>2003037.8382857004</v>
      </c>
      <c r="F144" s="20">
        <v>6639158.1944700014</v>
      </c>
      <c r="G144" s="20">
        <v>0.12</v>
      </c>
      <c r="H144" s="20">
        <f t="shared" si="115"/>
        <v>3788409.5561843012</v>
      </c>
      <c r="I144" s="20">
        <f t="shared" si="118"/>
        <v>-12184753.219461296</v>
      </c>
      <c r="J144" s="22"/>
      <c r="M144" s="20">
        <v>2027</v>
      </c>
      <c r="N144" s="20">
        <f t="shared" si="116"/>
        <v>863090.56528110022</v>
      </c>
      <c r="O144" s="20">
        <f t="shared" si="110"/>
        <v>0</v>
      </c>
      <c r="P144" s="20">
        <f t="shared" si="111"/>
        <v>0</v>
      </c>
      <c r="Q144" s="20">
        <f t="shared" si="112"/>
        <v>55101.202000000005</v>
      </c>
      <c r="R144" s="20">
        <f t="shared" si="117"/>
        <v>807989.36328110017</v>
      </c>
      <c r="S144" s="20">
        <f>措施后变化!F144*0.06</f>
        <v>398349.49166820006</v>
      </c>
      <c r="T144" s="20">
        <f t="shared" si="113"/>
        <v>796698.98333640012</v>
      </c>
    </row>
    <row r="145" spans="1:20" x14ac:dyDescent="0.15">
      <c r="A145" s="20">
        <v>2028</v>
      </c>
      <c r="B145" s="20">
        <v>0</v>
      </c>
      <c r="C145" s="20">
        <f t="shared" si="114"/>
        <v>0</v>
      </c>
      <c r="D145" s="20">
        <v>704472.6</v>
      </c>
      <c r="E145" s="20">
        <f t="shared" si="109"/>
        <v>1381476.1089269998</v>
      </c>
      <c r="F145" s="20">
        <v>4604086.5416999999</v>
      </c>
      <c r="G145" s="20">
        <v>0.12</v>
      </c>
      <c r="H145" s="20">
        <f t="shared" si="115"/>
        <v>2518137.832773</v>
      </c>
      <c r="I145" s="20">
        <f t="shared" si="118"/>
        <v>-9666615.3866882958</v>
      </c>
      <c r="J145" s="22"/>
      <c r="M145" s="20">
        <v>2028</v>
      </c>
      <c r="N145" s="20">
        <f t="shared" si="116"/>
        <v>598531.25042100006</v>
      </c>
      <c r="O145" s="20">
        <f t="shared" si="110"/>
        <v>0</v>
      </c>
      <c r="P145" s="20">
        <f t="shared" si="111"/>
        <v>0</v>
      </c>
      <c r="Q145" s="20">
        <f t="shared" si="112"/>
        <v>45790.718999999997</v>
      </c>
      <c r="R145" s="20">
        <f t="shared" si="117"/>
        <v>552740.53142100002</v>
      </c>
      <c r="S145" s="20">
        <f>措施后变化!F145*0.06</f>
        <v>276245.19250199996</v>
      </c>
      <c r="T145" s="20">
        <f t="shared" si="113"/>
        <v>552490.38500399992</v>
      </c>
    </row>
    <row r="146" spans="1:20" x14ac:dyDescent="0.15">
      <c r="A146" s="20">
        <v>2029</v>
      </c>
      <c r="B146" s="20">
        <v>0</v>
      </c>
      <c r="C146" s="20">
        <f t="shared" si="114"/>
        <v>0</v>
      </c>
      <c r="D146" s="20">
        <v>587286.15</v>
      </c>
      <c r="E146" s="20">
        <f t="shared" si="109"/>
        <v>871842.21635692497</v>
      </c>
      <c r="F146" s="20">
        <v>2935534.8906675</v>
      </c>
      <c r="G146" s="20">
        <v>0.12</v>
      </c>
      <c r="H146" s="20">
        <f t="shared" si="115"/>
        <v>1476406.5243105749</v>
      </c>
      <c r="I146" s="20">
        <f t="shared" si="118"/>
        <v>-8190208.8623777209</v>
      </c>
      <c r="J146" s="22"/>
      <c r="M146" s="20">
        <v>2029</v>
      </c>
      <c r="N146" s="20">
        <f t="shared" si="116"/>
        <v>381619.535786775</v>
      </c>
      <c r="O146" s="20">
        <f t="shared" si="110"/>
        <v>0</v>
      </c>
      <c r="P146" s="20">
        <f t="shared" si="111"/>
        <v>0</v>
      </c>
      <c r="Q146" s="20">
        <f t="shared" si="112"/>
        <v>38173.599750000001</v>
      </c>
      <c r="R146" s="20">
        <f t="shared" si="117"/>
        <v>343445.93603677501</v>
      </c>
      <c r="S146" s="20">
        <f>措施后变化!F146*0.06</f>
        <v>176132.09344005</v>
      </c>
      <c r="T146" s="20">
        <f t="shared" si="113"/>
        <v>352264.18688009999</v>
      </c>
    </row>
    <row r="147" spans="1:20" x14ac:dyDescent="0.15">
      <c r="A147" s="20">
        <v>2030</v>
      </c>
      <c r="B147" s="20">
        <v>0</v>
      </c>
      <c r="C147" s="20">
        <f t="shared" si="114"/>
        <v>0</v>
      </c>
      <c r="D147" s="20">
        <v>550839.19999999995</v>
      </c>
      <c r="E147" s="20">
        <f t="shared" si="109"/>
        <v>625661.2366855999</v>
      </c>
      <c r="F147" s="20">
        <v>2133760.5957599995</v>
      </c>
      <c r="G147" s="20">
        <v>0.12</v>
      </c>
      <c r="H147" s="20">
        <f t="shared" si="115"/>
        <v>957260.15907439962</v>
      </c>
      <c r="I147" s="20">
        <f t="shared" si="118"/>
        <v>-7232948.7033033213</v>
      </c>
      <c r="J147" s="22"/>
      <c r="M147" s="20">
        <v>2030</v>
      </c>
      <c r="N147" s="20">
        <f t="shared" si="116"/>
        <v>277388.87744879996</v>
      </c>
      <c r="O147" s="20">
        <f t="shared" si="110"/>
        <v>0</v>
      </c>
      <c r="P147" s="20">
        <f t="shared" si="111"/>
        <v>0</v>
      </c>
      <c r="Q147" s="20">
        <f t="shared" si="112"/>
        <v>35804.547999999995</v>
      </c>
      <c r="R147" s="20">
        <f t="shared" si="117"/>
        <v>241584.32944879995</v>
      </c>
      <c r="S147" s="20">
        <f>措施后变化!F147*0.06</f>
        <v>128025.63574559997</v>
      </c>
      <c r="T147" s="20">
        <f t="shared" si="113"/>
        <v>256051.27149119994</v>
      </c>
    </row>
    <row r="150" spans="1:20" x14ac:dyDescent="0.15">
      <c r="A150" s="20" t="s">
        <v>1</v>
      </c>
      <c r="B150" s="20" t="s">
        <v>96</v>
      </c>
      <c r="C150" s="20" t="s">
        <v>4</v>
      </c>
      <c r="D150" s="20" t="s">
        <v>6</v>
      </c>
      <c r="E150" s="20" t="s">
        <v>72</v>
      </c>
      <c r="F150" s="20" t="s">
        <v>97</v>
      </c>
      <c r="G150" s="20" t="s">
        <v>8</v>
      </c>
      <c r="H150" s="20" t="s">
        <v>98</v>
      </c>
      <c r="I150" s="20" t="s">
        <v>100</v>
      </c>
      <c r="J150" s="20" t="s">
        <v>101</v>
      </c>
      <c r="K150" s="20" t="s">
        <v>110</v>
      </c>
      <c r="N150" s="20" t="s">
        <v>74</v>
      </c>
      <c r="O150" s="20" t="s">
        <v>105</v>
      </c>
      <c r="P150" s="20" t="s">
        <v>107</v>
      </c>
      <c r="Q150" s="20" t="s">
        <v>108</v>
      </c>
      <c r="R150" s="20" t="s">
        <v>76</v>
      </c>
      <c r="S150" s="20" t="s">
        <v>78</v>
      </c>
      <c r="T150" s="20" t="s">
        <v>104</v>
      </c>
    </row>
    <row r="151" spans="1:20" x14ac:dyDescent="0.15">
      <c r="A151" s="20">
        <v>2021</v>
      </c>
      <c r="B151" s="20">
        <v>1820000</v>
      </c>
      <c r="C151" s="20">
        <f>部分计算!L4*部分计算!$W$3+部分计算!M4*部分计算!$W$4+部分计算!N4*部分计算!$W$7+部分计算!O4*部分计算!$W$5+部分计算!P4*部分计算!$W$6+部分计算!Q4*部分计算!$W$8+部分计算!R4*部分计算!$W$9+部分计算!S4*部分计算!$W$10</f>
        <v>1293400</v>
      </c>
      <c r="D151" s="20">
        <f>部分计算!$H$17*部分计算!L16+部分计算!$H$18*部分计算!M16+部分计算!$H$19*部分计算!N16</f>
        <v>37247.400000000052</v>
      </c>
      <c r="E151" s="20">
        <f t="shared" ref="E151:E160" si="119">R151+S151+T151</f>
        <v>44636.413594500074</v>
      </c>
      <c r="F151" s="20">
        <f>部分计算!$Q$14*部分计算!$T$14*部分计算!$V$14*部分计算!L16</f>
        <v>247980.0755250004</v>
      </c>
      <c r="G151" s="20">
        <v>0.12</v>
      </c>
      <c r="H151" s="20">
        <f>F151-E151-D151-C151-B151</f>
        <v>-2947303.7380694998</v>
      </c>
      <c r="I151" s="20">
        <f>H151</f>
        <v>-2947303.7380694998</v>
      </c>
      <c r="J151" s="22">
        <f>IRR(H151:H160)</f>
        <v>0.47402894970021503</v>
      </c>
      <c r="K151" s="20" t="s">
        <v>122</v>
      </c>
      <c r="M151" s="20">
        <v>2021</v>
      </c>
      <c r="N151" s="20">
        <f>F151*0.13</f>
        <v>32237.409818250053</v>
      </c>
      <c r="O151" s="20">
        <f t="shared" ref="O151:O160" si="120">B151*0.13</f>
        <v>236600</v>
      </c>
      <c r="P151" s="20">
        <f t="shared" ref="P151:P160" si="121">C151*0.13*0.8</f>
        <v>134513.60000000001</v>
      </c>
      <c r="Q151" s="20">
        <f t="shared" ref="Q151:Q160" si="122">D151*0.13*0.5</f>
        <v>2421.0810000000033</v>
      </c>
      <c r="R151" s="20">
        <f>IF(N151-O151-P151-Q151&gt;0,N151-O151-P151-Q151,0)</f>
        <v>0</v>
      </c>
      <c r="S151" s="20">
        <f>措施后变化!F151*0.06</f>
        <v>14878.804531500024</v>
      </c>
      <c r="T151" s="20">
        <f t="shared" ref="T151:T160" si="123">F151*0.12</f>
        <v>29757.609063000047</v>
      </c>
    </row>
    <row r="152" spans="1:20" x14ac:dyDescent="0.15">
      <c r="A152" s="20">
        <v>2022</v>
      </c>
      <c r="B152" s="20">
        <v>0</v>
      </c>
      <c r="C152" s="20">
        <f>部分计算!L5*部分计算!$W$3+部分计算!M5*部分计算!$W$4+部分计算!N5*部分计算!$W$7+部分计算!O5*部分计算!$W$5+部分计算!P5*部分计算!$W$6+部分计算!Q5*部分计算!$W$8+部分计算!R5*部分计算!$W$9+部分计算!S5*部分计算!$W$10</f>
        <v>3723525</v>
      </c>
      <c r="D152" s="20">
        <f>部分计算!$H$17*部分计算!L17+部分计算!$H$18*部分计算!M17+部分计算!$H$19*部分计算!N17</f>
        <v>306445.80000000005</v>
      </c>
      <c r="E152" s="20">
        <f t="shared" si="119"/>
        <v>776522.35009829979</v>
      </c>
      <c r="F152" s="20">
        <f>部分计算!$Q$14*部分计算!$T$14*部分计算!$V$14*部分计算!L17</f>
        <v>3818348.1519299992</v>
      </c>
      <c r="G152" s="20">
        <v>0.12</v>
      </c>
      <c r="H152" s="20">
        <f t="shared" ref="H152:H160" si="124">F152-E152-D152-C152-B152</f>
        <v>-988144.99816830084</v>
      </c>
      <c r="I152" s="20">
        <f>I151+H152</f>
        <v>-3935448.7362378007</v>
      </c>
      <c r="J152" s="22"/>
      <c r="M152" s="20">
        <v>2022</v>
      </c>
      <c r="N152" s="20">
        <f t="shared" ref="N152:N160" si="125">F152*0.13</f>
        <v>496385.25975089992</v>
      </c>
      <c r="O152" s="20">
        <f t="shared" si="120"/>
        <v>0</v>
      </c>
      <c r="P152" s="20">
        <f t="shared" si="121"/>
        <v>387246.60000000003</v>
      </c>
      <c r="Q152" s="20">
        <f t="shared" si="122"/>
        <v>19918.977000000003</v>
      </c>
      <c r="R152" s="20">
        <f t="shared" ref="R152:R160" si="126">IF(N152-O152-P152-Q152&gt;0,N152-O152-P152-Q152,0)</f>
        <v>89219.682750899883</v>
      </c>
      <c r="S152" s="20">
        <f>措施后变化!F152*0.06</f>
        <v>229100.88911579995</v>
      </c>
      <c r="T152" s="20">
        <f t="shared" si="123"/>
        <v>458201.77823159989</v>
      </c>
    </row>
    <row r="153" spans="1:20" x14ac:dyDescent="0.15">
      <c r="A153" s="20">
        <v>2023</v>
      </c>
      <c r="B153" s="20">
        <v>0</v>
      </c>
      <c r="C153" s="20">
        <f>部分计算!L6*部分计算!$W$3+部分计算!M6*部分计算!$W$4+部分计算!N6*部分计算!$W$7+部分计算!O6*部分计算!$W$5+部分计算!P6*部分计算!$W$6+部分计算!Q6*部分计算!$W$8+部分计算!R6*部分计算!$W$9+部分计算!S6*部分计算!$W$10</f>
        <v>2112101</v>
      </c>
      <c r="D153" s="20">
        <f>部分计算!$H$17*部分计算!L18+部分计算!$H$18*部分计算!M18+部分计算!$H$19*部分计算!N18</f>
        <v>426277.19999999995</v>
      </c>
      <c r="E153" s="20">
        <f t="shared" si="119"/>
        <v>1105196.8846291997</v>
      </c>
      <c r="F153" s="20">
        <f>部分计算!$Q$14*部分计算!$T$14*部分计算!$V$14*部分计算!L18</f>
        <v>4363107.763319999</v>
      </c>
      <c r="G153" s="20">
        <v>0.12</v>
      </c>
      <c r="H153" s="20">
        <f t="shared" si="124"/>
        <v>719532.67869079951</v>
      </c>
      <c r="I153" s="20">
        <f>I152+H153</f>
        <v>-3215916.0575470012</v>
      </c>
      <c r="J153" s="22"/>
      <c r="M153" s="20">
        <v>2023</v>
      </c>
      <c r="N153" s="20">
        <f t="shared" si="125"/>
        <v>567204.00923159986</v>
      </c>
      <c r="O153" s="20">
        <f t="shared" si="120"/>
        <v>0</v>
      </c>
      <c r="P153" s="20">
        <f t="shared" si="121"/>
        <v>219658.50400000002</v>
      </c>
      <c r="Q153" s="20">
        <f t="shared" si="122"/>
        <v>27708.017999999996</v>
      </c>
      <c r="R153" s="20">
        <f t="shared" si="126"/>
        <v>319837.48723159987</v>
      </c>
      <c r="S153" s="20">
        <f>措施后变化!F153*0.06</f>
        <v>261786.46579919994</v>
      </c>
      <c r="T153" s="20">
        <f t="shared" si="123"/>
        <v>523572.93159839988</v>
      </c>
    </row>
    <row r="154" spans="1:20" x14ac:dyDescent="0.15">
      <c r="A154" s="20">
        <v>2024</v>
      </c>
      <c r="B154" s="20">
        <v>0</v>
      </c>
      <c r="C154" s="20">
        <f>部分计算!L7*部分计算!$W$3+部分计算!M7*部分计算!$W$4+部分计算!N7*部分计算!$W$7+部分计算!O7*部分计算!$W$5+部分计算!P7*部分计算!$W$6+部分计算!Q7*部分计算!$W$8+部分计算!R7*部分计算!$W$9+部分计算!S7*部分计算!$W$10</f>
        <v>1875181</v>
      </c>
      <c r="D154" s="20">
        <f>部分计算!$H$17*部分计算!L19+部分计算!$H$18*部分计算!M19+部分计算!$H$19*部分计算!N19</f>
        <v>721911.2</v>
      </c>
      <c r="E154" s="20">
        <f t="shared" si="119"/>
        <v>2427313.6424723999</v>
      </c>
      <c r="F154" s="20">
        <f>部分计算!$Q$14*部分计算!$T$14*部分计算!$V$14*部分计算!L19</f>
        <v>8610505.4660400003</v>
      </c>
      <c r="G154" s="20">
        <v>0.12</v>
      </c>
      <c r="H154" s="20">
        <f t="shared" si="124"/>
        <v>3586099.6235676007</v>
      </c>
      <c r="I154" s="20">
        <f t="shared" ref="I154:I160" si="127">I153+H154</f>
        <v>370183.56602059957</v>
      </c>
      <c r="J154" s="22"/>
      <c r="M154" s="20">
        <v>2024</v>
      </c>
      <c r="N154" s="20">
        <f t="shared" si="125"/>
        <v>1119365.7105852</v>
      </c>
      <c r="O154" s="20">
        <f t="shared" si="120"/>
        <v>0</v>
      </c>
      <c r="P154" s="20">
        <f t="shared" si="121"/>
        <v>195018.82400000002</v>
      </c>
      <c r="Q154" s="20">
        <f t="shared" si="122"/>
        <v>46924.227999999996</v>
      </c>
      <c r="R154" s="20">
        <f t="shared" si="126"/>
        <v>877422.65858519997</v>
      </c>
      <c r="S154" s="20">
        <f>措施后变化!F154*0.06</f>
        <v>516630.32796239998</v>
      </c>
      <c r="T154" s="20">
        <f t="shared" si="123"/>
        <v>1033260.6559248</v>
      </c>
    </row>
    <row r="155" spans="1:20" x14ac:dyDescent="0.15">
      <c r="A155" s="20">
        <v>2025</v>
      </c>
      <c r="B155" s="20">
        <v>0</v>
      </c>
      <c r="C155" s="20">
        <f>部分计算!L8*部分计算!$W$3+部分计算!M8*部分计算!$W$4+部分计算!N8*部分计算!$W$7+部分计算!O8*部分计算!$W$5+部分计算!P8*部分计算!$W$6+部分计算!Q8*部分计算!$W$8+部分计算!R8*部分计算!$W$9+部分计算!S8*部分计算!$W$10</f>
        <v>1106364</v>
      </c>
      <c r="D155" s="20">
        <f>部分计算!$H$17*部分计算!L20+部分计算!$H$18*部分计算!M20+部分计算!$H$19*部分计算!N20</f>
        <v>929850.10000000009</v>
      </c>
      <c r="E155" s="20">
        <f t="shared" si="119"/>
        <v>2481394.9866950507</v>
      </c>
      <c r="F155" s="20">
        <f>部分计算!$Q$14*部分计算!$T$14*部分计算!$V$14*部分计算!L20</f>
        <v>8570635.8038550019</v>
      </c>
      <c r="G155" s="20">
        <v>0.12</v>
      </c>
      <c r="H155" s="20">
        <f t="shared" si="124"/>
        <v>4053026.7171599511</v>
      </c>
      <c r="I155" s="20">
        <f t="shared" si="127"/>
        <v>4423210.2831805507</v>
      </c>
      <c r="J155" s="22"/>
      <c r="M155" s="20">
        <v>2025</v>
      </c>
      <c r="N155" s="20">
        <f t="shared" si="125"/>
        <v>1114182.6545011504</v>
      </c>
      <c r="O155" s="20">
        <f t="shared" si="120"/>
        <v>0</v>
      </c>
      <c r="P155" s="20">
        <f t="shared" si="121"/>
        <v>115061.85600000001</v>
      </c>
      <c r="Q155" s="20">
        <f t="shared" si="122"/>
        <v>60440.25650000001</v>
      </c>
      <c r="R155" s="20">
        <f t="shared" si="126"/>
        <v>938680.54200115032</v>
      </c>
      <c r="S155" s="20">
        <f>措施后变化!F155*0.06</f>
        <v>514238.14823130012</v>
      </c>
      <c r="T155" s="20">
        <f t="shared" si="123"/>
        <v>1028476.2964626002</v>
      </c>
    </row>
    <row r="156" spans="1:20" x14ac:dyDescent="0.15">
      <c r="A156" s="20">
        <v>2026</v>
      </c>
      <c r="B156" s="20">
        <v>0</v>
      </c>
      <c r="C156" s="20">
        <f>部分计算!L9*部分计算!$W$3+部分计算!M9*部分计算!$W$4+部分计算!N9*部分计算!$W$7+部分计算!O9*部分计算!$W$5+部分计算!P9*部分计算!$W$6+部分计算!Q9*部分计算!$W$8+部分计算!R9*部分计算!$W$9+部分计算!S9*部分计算!$W$10</f>
        <v>0</v>
      </c>
      <c r="D156" s="20">
        <f>部分计算!$H$17*部分计算!L21+部分计算!$H$18*部分计算!M21+部分计算!$H$19*部分计算!N21</f>
        <v>944531.4</v>
      </c>
      <c r="E156" s="20">
        <f t="shared" si="119"/>
        <v>2451970.0973716495</v>
      </c>
      <c r="F156" s="20">
        <f>部分计算!$Q$14*部分计算!$T$14*部分计算!$V$14*部分计算!L21</f>
        <v>8107627.865714998</v>
      </c>
      <c r="G156" s="20">
        <v>0.12</v>
      </c>
      <c r="H156" s="20">
        <f t="shared" si="124"/>
        <v>4711126.3683433477</v>
      </c>
      <c r="I156" s="20">
        <f t="shared" si="127"/>
        <v>9134336.6515238993</v>
      </c>
      <c r="J156" s="22"/>
      <c r="M156" s="20">
        <v>2026</v>
      </c>
      <c r="N156" s="20">
        <f t="shared" si="125"/>
        <v>1053991.6225429499</v>
      </c>
      <c r="O156" s="20">
        <f t="shared" si="120"/>
        <v>0</v>
      </c>
      <c r="P156" s="20">
        <f t="shared" si="121"/>
        <v>0</v>
      </c>
      <c r="Q156" s="20">
        <f t="shared" si="122"/>
        <v>61394.541000000005</v>
      </c>
      <c r="R156" s="20">
        <f t="shared" si="126"/>
        <v>992597.08154294989</v>
      </c>
      <c r="S156" s="20">
        <f>措施后变化!F156*0.06</f>
        <v>486457.67194289988</v>
      </c>
      <c r="T156" s="20">
        <f t="shared" si="123"/>
        <v>972915.34388579975</v>
      </c>
    </row>
    <row r="157" spans="1:20" x14ac:dyDescent="0.15">
      <c r="A157" s="20">
        <v>2027</v>
      </c>
      <c r="B157" s="20">
        <v>0</v>
      </c>
      <c r="C157" s="20">
        <f>部分计算!L10*部分计算!$W$3+部分计算!M10*部分计算!$W$4+部分计算!N10*部分计算!$W$7+部分计算!O10*部分计算!$W$5+部分计算!P10*部分计算!$W$6+部分计算!Q10*部分计算!$W$8+部分计算!R10*部分计算!$W$9+部分计算!S10*部分计算!$W$10</f>
        <v>0</v>
      </c>
      <c r="D157" s="20">
        <f>部分计算!$H$17*部分计算!L22+部分计算!$H$18*部分计算!M22+部分计算!$H$19*部分计算!N22</f>
        <v>847710.8</v>
      </c>
      <c r="E157" s="20">
        <f t="shared" si="119"/>
        <v>2003037.8382857004</v>
      </c>
      <c r="F157" s="20">
        <f>部分计算!$Q$14*部分计算!$T$14*部分计算!$V$14*部分计算!L22</f>
        <v>6639158.1944700014</v>
      </c>
      <c r="G157" s="20">
        <v>0.12</v>
      </c>
      <c r="H157" s="20">
        <f t="shared" si="124"/>
        <v>3788409.5561843012</v>
      </c>
      <c r="I157" s="20">
        <f t="shared" si="127"/>
        <v>12922746.2077082</v>
      </c>
      <c r="J157" s="22"/>
      <c r="M157" s="20">
        <v>2027</v>
      </c>
      <c r="N157" s="20">
        <f t="shared" si="125"/>
        <v>863090.56528110022</v>
      </c>
      <c r="O157" s="20">
        <f t="shared" si="120"/>
        <v>0</v>
      </c>
      <c r="P157" s="20">
        <f t="shared" si="121"/>
        <v>0</v>
      </c>
      <c r="Q157" s="20">
        <f t="shared" si="122"/>
        <v>55101.202000000005</v>
      </c>
      <c r="R157" s="20">
        <f t="shared" si="126"/>
        <v>807989.36328110017</v>
      </c>
      <c r="S157" s="20">
        <f>措施后变化!F157*0.06</f>
        <v>398349.49166820006</v>
      </c>
      <c r="T157" s="20">
        <f t="shared" si="123"/>
        <v>796698.98333640012</v>
      </c>
    </row>
    <row r="158" spans="1:20" x14ac:dyDescent="0.15">
      <c r="A158" s="20">
        <v>2028</v>
      </c>
      <c r="B158" s="20">
        <v>0</v>
      </c>
      <c r="C158" s="20">
        <f>部分计算!L11*部分计算!$W$3+部分计算!M11*部分计算!$W$4+部分计算!N11*部分计算!$W$7+部分计算!O11*部分计算!$W$5+部分计算!P11*部分计算!$W$6+部分计算!Q11*部分计算!$W$8+部分计算!R11*部分计算!$W$9+部分计算!S11*部分计算!$W$10</f>
        <v>0</v>
      </c>
      <c r="D158" s="20">
        <f>部分计算!$H$17*部分计算!L23+部分计算!$H$18*部分计算!M23+部分计算!$H$19*部分计算!N23</f>
        <v>704472.6</v>
      </c>
      <c r="E158" s="20">
        <f t="shared" si="119"/>
        <v>1381476.1089269998</v>
      </c>
      <c r="F158" s="20">
        <f>部分计算!$Q$14*部分计算!$T$14*部分计算!$V$14*部分计算!L23</f>
        <v>4604086.5416999999</v>
      </c>
      <c r="G158" s="20">
        <v>0.12</v>
      </c>
      <c r="H158" s="20">
        <f t="shared" si="124"/>
        <v>2518137.832773</v>
      </c>
      <c r="I158" s="20">
        <f t="shared" si="127"/>
        <v>15440884.0404812</v>
      </c>
      <c r="J158" s="22"/>
      <c r="M158" s="20">
        <v>2028</v>
      </c>
      <c r="N158" s="20">
        <f t="shared" si="125"/>
        <v>598531.25042100006</v>
      </c>
      <c r="O158" s="20">
        <f t="shared" si="120"/>
        <v>0</v>
      </c>
      <c r="P158" s="20">
        <f t="shared" si="121"/>
        <v>0</v>
      </c>
      <c r="Q158" s="20">
        <f t="shared" si="122"/>
        <v>45790.718999999997</v>
      </c>
      <c r="R158" s="20">
        <f t="shared" si="126"/>
        <v>552740.53142100002</v>
      </c>
      <c r="S158" s="20">
        <f>措施后变化!F158*0.06</f>
        <v>276245.19250199996</v>
      </c>
      <c r="T158" s="20">
        <f t="shared" si="123"/>
        <v>552490.38500399992</v>
      </c>
    </row>
    <row r="159" spans="1:20" x14ac:dyDescent="0.15">
      <c r="A159" s="20">
        <v>2029</v>
      </c>
      <c r="B159" s="20">
        <v>0</v>
      </c>
      <c r="C159" s="20">
        <f>部分计算!L12*部分计算!$W$3+部分计算!M12*部分计算!$W$4+部分计算!N12*部分计算!$W$7+部分计算!O12*部分计算!$W$5+部分计算!P12*部分计算!$W$6+部分计算!Q12*部分计算!$W$8+部分计算!R12*部分计算!$W$9+部分计算!S12*部分计算!$W$10</f>
        <v>0</v>
      </c>
      <c r="D159" s="20">
        <f>部分计算!$H$17*部分计算!L24+部分计算!$H$18*部分计算!M24+部分计算!$H$19*部分计算!N24</f>
        <v>587286.15</v>
      </c>
      <c r="E159" s="20">
        <f t="shared" si="119"/>
        <v>871842.21635692497</v>
      </c>
      <c r="F159" s="20">
        <f>部分计算!$Q$14*部分计算!$T$14*部分计算!$V$14*部分计算!L24</f>
        <v>2935534.8906675</v>
      </c>
      <c r="G159" s="20">
        <v>0.12</v>
      </c>
      <c r="H159" s="20">
        <f t="shared" si="124"/>
        <v>1476406.5243105749</v>
      </c>
      <c r="I159" s="20">
        <f t="shared" si="127"/>
        <v>16917290.564791776</v>
      </c>
      <c r="J159" s="22"/>
      <c r="M159" s="20">
        <v>2029</v>
      </c>
      <c r="N159" s="20">
        <f t="shared" si="125"/>
        <v>381619.535786775</v>
      </c>
      <c r="O159" s="20">
        <f t="shared" si="120"/>
        <v>0</v>
      </c>
      <c r="P159" s="20">
        <f t="shared" si="121"/>
        <v>0</v>
      </c>
      <c r="Q159" s="20">
        <f t="shared" si="122"/>
        <v>38173.599750000001</v>
      </c>
      <c r="R159" s="20">
        <f t="shared" si="126"/>
        <v>343445.93603677501</v>
      </c>
      <c r="S159" s="20">
        <f>措施后变化!F159*0.06</f>
        <v>176132.09344005</v>
      </c>
      <c r="T159" s="20">
        <f t="shared" si="123"/>
        <v>352264.18688009999</v>
      </c>
    </row>
    <row r="160" spans="1:20" x14ac:dyDescent="0.15">
      <c r="A160" s="20">
        <v>2030</v>
      </c>
      <c r="B160" s="20">
        <v>0</v>
      </c>
      <c r="C160" s="20">
        <f>部分计算!L13*部分计算!$W$3+部分计算!M13*部分计算!$W$4+部分计算!N13*部分计算!$W$7+部分计算!O13*部分计算!$W$5+部分计算!P13*部分计算!$W$6+部分计算!Q13*部分计算!$W$8+部分计算!R13*部分计算!$W$9+部分计算!S13*部分计算!$W$10</f>
        <v>0</v>
      </c>
      <c r="D160" s="20">
        <f>部分计算!$H$17*部分计算!L25+部分计算!$H$18*部分计算!M25+部分计算!$H$19*部分计算!N25</f>
        <v>550839.19999999995</v>
      </c>
      <c r="E160" s="20">
        <f t="shared" si="119"/>
        <v>625661.2366855999</v>
      </c>
      <c r="F160" s="20">
        <f>部分计算!$Q$14*部分计算!$T$14*部分计算!$V$14*部分计算!L25</f>
        <v>2133760.5957599995</v>
      </c>
      <c r="G160" s="20">
        <v>0.12</v>
      </c>
      <c r="H160" s="20">
        <f t="shared" si="124"/>
        <v>957260.15907439962</v>
      </c>
      <c r="I160" s="20">
        <f t="shared" si="127"/>
        <v>17874550.723866176</v>
      </c>
      <c r="J160" s="22"/>
      <c r="M160" s="20">
        <v>2030</v>
      </c>
      <c r="N160" s="20">
        <f t="shared" si="125"/>
        <v>277388.87744879996</v>
      </c>
      <c r="O160" s="20">
        <f t="shared" si="120"/>
        <v>0</v>
      </c>
      <c r="P160" s="20">
        <f t="shared" si="121"/>
        <v>0</v>
      </c>
      <c r="Q160" s="20">
        <f t="shared" si="122"/>
        <v>35804.547999999995</v>
      </c>
      <c r="R160" s="20">
        <f t="shared" si="126"/>
        <v>241584.32944879995</v>
      </c>
      <c r="S160" s="20">
        <f>措施后变化!F160*0.06</f>
        <v>128025.63574559997</v>
      </c>
      <c r="T160" s="20">
        <f t="shared" si="123"/>
        <v>256051.27149119994</v>
      </c>
    </row>
    <row r="162" spans="1:20" x14ac:dyDescent="0.15">
      <c r="A162" s="20" t="s">
        <v>1</v>
      </c>
      <c r="B162" s="20" t="s">
        <v>96</v>
      </c>
      <c r="C162" s="20" t="s">
        <v>4</v>
      </c>
      <c r="D162" s="20" t="s">
        <v>6</v>
      </c>
      <c r="E162" s="20" t="s">
        <v>72</v>
      </c>
      <c r="F162" s="20" t="s">
        <v>97</v>
      </c>
      <c r="G162" s="20" t="s">
        <v>8</v>
      </c>
      <c r="H162" s="20" t="s">
        <v>98</v>
      </c>
      <c r="I162" s="20" t="s">
        <v>100</v>
      </c>
      <c r="J162" s="20" t="s">
        <v>101</v>
      </c>
      <c r="K162" s="20" t="s">
        <v>110</v>
      </c>
      <c r="N162" s="20" t="s">
        <v>74</v>
      </c>
      <c r="O162" s="20" t="s">
        <v>105</v>
      </c>
      <c r="P162" s="20" t="s">
        <v>107</v>
      </c>
      <c r="Q162" s="20" t="s">
        <v>108</v>
      </c>
      <c r="R162" s="20" t="s">
        <v>76</v>
      </c>
      <c r="S162" s="20" t="s">
        <v>78</v>
      </c>
      <c r="T162" s="20" t="s">
        <v>104</v>
      </c>
    </row>
    <row r="163" spans="1:20" x14ac:dyDescent="0.15">
      <c r="A163" s="20">
        <v>2021</v>
      </c>
      <c r="B163" s="20">
        <v>1820000</v>
      </c>
      <c r="C163" s="20">
        <v>1293400</v>
      </c>
      <c r="D163" s="20">
        <f>D151*1.1</f>
        <v>40972.140000000058</v>
      </c>
      <c r="E163" s="20">
        <f t="shared" ref="E163:E172" si="128">R163+S163+T163</f>
        <v>44636.413594500074</v>
      </c>
      <c r="F163" s="20">
        <v>247980.0755250004</v>
      </c>
      <c r="G163" s="20">
        <v>0.12</v>
      </c>
      <c r="H163" s="20">
        <f>F163-E163-D163-C163-B163</f>
        <v>-2951028.4780694996</v>
      </c>
      <c r="I163" s="20">
        <f>H163</f>
        <v>-2951028.4780694996</v>
      </c>
      <c r="J163" s="22">
        <f>IRR(H163:H172)</f>
        <v>0.46270795639962659</v>
      </c>
      <c r="K163" s="20" t="s">
        <v>123</v>
      </c>
      <c r="M163" s="20">
        <v>2021</v>
      </c>
      <c r="N163" s="20">
        <f>F163*0.13</f>
        <v>32237.409818250053</v>
      </c>
      <c r="O163" s="20">
        <f t="shared" ref="O163:O172" si="129">B163*0.13</f>
        <v>236600</v>
      </c>
      <c r="P163" s="20">
        <f t="shared" ref="P163:P172" si="130">C163*0.13*0.8</f>
        <v>134513.60000000001</v>
      </c>
      <c r="Q163" s="20">
        <f t="shared" ref="Q163:Q172" si="131">D163*0.13*0.5</f>
        <v>2663.1891000000037</v>
      </c>
      <c r="R163" s="20">
        <f>IF(N163-O163-P163-Q163&gt;0,N163-O163-P163-Q163,0)</f>
        <v>0</v>
      </c>
      <c r="S163" s="20">
        <f>措施后变化!F163*0.06</f>
        <v>14878.804531500024</v>
      </c>
      <c r="T163" s="20">
        <f t="shared" ref="T163:T172" si="132">F163*0.12</f>
        <v>29757.609063000047</v>
      </c>
    </row>
    <row r="164" spans="1:20" x14ac:dyDescent="0.15">
      <c r="A164" s="20">
        <v>2022</v>
      </c>
      <c r="B164" s="20">
        <v>0</v>
      </c>
      <c r="C164" s="20">
        <v>3723525</v>
      </c>
      <c r="D164" s="20">
        <f t="shared" ref="D164:D172" si="133">D152*1.1</f>
        <v>337090.38000000006</v>
      </c>
      <c r="E164" s="20">
        <f t="shared" si="128"/>
        <v>774530.45239829971</v>
      </c>
      <c r="F164" s="20">
        <v>3818348.1519299992</v>
      </c>
      <c r="G164" s="20">
        <v>0.12</v>
      </c>
      <c r="H164" s="20">
        <f t="shared" ref="H164:H172" si="134">F164-E164-D164-C164-B164</f>
        <v>-1016797.6804683004</v>
      </c>
      <c r="I164" s="20">
        <f>I163+H164</f>
        <v>-3967826.1585378</v>
      </c>
      <c r="J164" s="22"/>
      <c r="M164" s="20">
        <v>2022</v>
      </c>
      <c r="N164" s="20">
        <f t="shared" ref="N164:N172" si="135">F164*0.13</f>
        <v>496385.25975089992</v>
      </c>
      <c r="O164" s="20">
        <f t="shared" si="129"/>
        <v>0</v>
      </c>
      <c r="P164" s="20">
        <f t="shared" si="130"/>
        <v>387246.60000000003</v>
      </c>
      <c r="Q164" s="20">
        <f t="shared" si="131"/>
        <v>21910.874700000004</v>
      </c>
      <c r="R164" s="20">
        <f t="shared" ref="R164:R172" si="136">IF(N164-O164-P164-Q164&gt;0,N164-O164-P164-Q164,0)</f>
        <v>87227.785050899882</v>
      </c>
      <c r="S164" s="20">
        <f>措施后变化!F164*0.06</f>
        <v>229100.88911579995</v>
      </c>
      <c r="T164" s="20">
        <f t="shared" si="132"/>
        <v>458201.77823159989</v>
      </c>
    </row>
    <row r="165" spans="1:20" x14ac:dyDescent="0.15">
      <c r="A165" s="20">
        <v>2023</v>
      </c>
      <c r="B165" s="20">
        <v>0</v>
      </c>
      <c r="C165" s="20">
        <v>2112101</v>
      </c>
      <c r="D165" s="20">
        <f t="shared" si="133"/>
        <v>468904.92</v>
      </c>
      <c r="E165" s="20">
        <f t="shared" si="128"/>
        <v>1102426.0828291997</v>
      </c>
      <c r="F165" s="20">
        <v>4363107.763319999</v>
      </c>
      <c r="G165" s="20">
        <v>0.12</v>
      </c>
      <c r="H165" s="20">
        <f t="shared" si="134"/>
        <v>679675.76049079932</v>
      </c>
      <c r="I165" s="20">
        <f>I164+H165</f>
        <v>-3288150.3980470006</v>
      </c>
      <c r="J165" s="22"/>
      <c r="M165" s="20">
        <v>2023</v>
      </c>
      <c r="N165" s="20">
        <f t="shared" si="135"/>
        <v>567204.00923159986</v>
      </c>
      <c r="O165" s="20">
        <f t="shared" si="129"/>
        <v>0</v>
      </c>
      <c r="P165" s="20">
        <f t="shared" si="130"/>
        <v>219658.50400000002</v>
      </c>
      <c r="Q165" s="20">
        <f t="shared" si="131"/>
        <v>30478.819800000001</v>
      </c>
      <c r="R165" s="20">
        <f t="shared" si="136"/>
        <v>317066.68543159985</v>
      </c>
      <c r="S165" s="20">
        <f>措施后变化!F165*0.06</f>
        <v>261786.46579919994</v>
      </c>
      <c r="T165" s="20">
        <f t="shared" si="132"/>
        <v>523572.93159839988</v>
      </c>
    </row>
    <row r="166" spans="1:20" x14ac:dyDescent="0.15">
      <c r="A166" s="20">
        <v>2024</v>
      </c>
      <c r="B166" s="20">
        <v>0</v>
      </c>
      <c r="C166" s="20">
        <v>1875181</v>
      </c>
      <c r="D166" s="20">
        <f t="shared" si="133"/>
        <v>794102.32000000007</v>
      </c>
      <c r="E166" s="20">
        <f t="shared" si="128"/>
        <v>2422621.2196724</v>
      </c>
      <c r="F166" s="20">
        <v>8610505.4660400003</v>
      </c>
      <c r="G166" s="20">
        <v>0.12</v>
      </c>
      <c r="H166" s="20">
        <f t="shared" si="134"/>
        <v>3518600.9263675995</v>
      </c>
      <c r="I166" s="20">
        <f t="shared" ref="I166:I172" si="137">I165+H166</f>
        <v>230450.52832059888</v>
      </c>
      <c r="J166" s="22"/>
      <c r="M166" s="20">
        <v>2024</v>
      </c>
      <c r="N166" s="20">
        <f t="shared" si="135"/>
        <v>1119365.7105852</v>
      </c>
      <c r="O166" s="20">
        <f t="shared" si="129"/>
        <v>0</v>
      </c>
      <c r="P166" s="20">
        <f t="shared" si="130"/>
        <v>195018.82400000002</v>
      </c>
      <c r="Q166" s="20">
        <f t="shared" si="131"/>
        <v>51616.650800000003</v>
      </c>
      <c r="R166" s="20">
        <f t="shared" si="136"/>
        <v>872730.23578520003</v>
      </c>
      <c r="S166" s="20">
        <f>措施后变化!F166*0.06</f>
        <v>516630.32796239998</v>
      </c>
      <c r="T166" s="20">
        <f t="shared" si="132"/>
        <v>1033260.6559248</v>
      </c>
    </row>
    <row r="167" spans="1:20" x14ac:dyDescent="0.15">
      <c r="A167" s="20">
        <v>2025</v>
      </c>
      <c r="B167" s="20">
        <v>0</v>
      </c>
      <c r="C167" s="20">
        <v>1106364</v>
      </c>
      <c r="D167" s="20">
        <f t="shared" si="133"/>
        <v>1022835.1100000002</v>
      </c>
      <c r="E167" s="20">
        <f t="shared" si="128"/>
        <v>2475350.9610450505</v>
      </c>
      <c r="F167" s="20">
        <v>8570635.8038550019</v>
      </c>
      <c r="G167" s="20">
        <v>0.12</v>
      </c>
      <c r="H167" s="20">
        <f t="shared" si="134"/>
        <v>3966085.7328099506</v>
      </c>
      <c r="I167" s="20">
        <f t="shared" si="137"/>
        <v>4196536.261130549</v>
      </c>
      <c r="J167" s="22"/>
      <c r="M167" s="20">
        <v>2025</v>
      </c>
      <c r="N167" s="20">
        <f t="shared" si="135"/>
        <v>1114182.6545011504</v>
      </c>
      <c r="O167" s="20">
        <f t="shared" si="129"/>
        <v>0</v>
      </c>
      <c r="P167" s="20">
        <f t="shared" si="130"/>
        <v>115061.85600000001</v>
      </c>
      <c r="Q167" s="20">
        <f t="shared" si="131"/>
        <v>66484.282150000014</v>
      </c>
      <c r="R167" s="20">
        <f t="shared" si="136"/>
        <v>932636.51635115035</v>
      </c>
      <c r="S167" s="20">
        <f>措施后变化!F167*0.06</f>
        <v>514238.14823130012</v>
      </c>
      <c r="T167" s="20">
        <f t="shared" si="132"/>
        <v>1028476.2964626002</v>
      </c>
    </row>
    <row r="168" spans="1:20" x14ac:dyDescent="0.15">
      <c r="A168" s="20">
        <v>2026</v>
      </c>
      <c r="B168" s="20">
        <v>0</v>
      </c>
      <c r="D168" s="20">
        <f t="shared" si="133"/>
        <v>1038984.5400000002</v>
      </c>
      <c r="E168" s="20">
        <f t="shared" si="128"/>
        <v>2445830.6432716493</v>
      </c>
      <c r="F168" s="20">
        <v>8107627.865714998</v>
      </c>
      <c r="G168" s="20">
        <v>0.12</v>
      </c>
      <c r="H168" s="20">
        <f t="shared" si="134"/>
        <v>4622812.6824433487</v>
      </c>
      <c r="I168" s="20">
        <f t="shared" si="137"/>
        <v>8819348.9435738977</v>
      </c>
      <c r="J168" s="22"/>
      <c r="M168" s="20">
        <v>2026</v>
      </c>
      <c r="N168" s="20">
        <f t="shared" si="135"/>
        <v>1053991.6225429499</v>
      </c>
      <c r="O168" s="20">
        <f t="shared" si="129"/>
        <v>0</v>
      </c>
      <c r="P168" s="20">
        <f t="shared" si="130"/>
        <v>0</v>
      </c>
      <c r="Q168" s="20">
        <f t="shared" si="131"/>
        <v>67533.995100000015</v>
      </c>
      <c r="R168" s="20">
        <f t="shared" si="136"/>
        <v>986457.6274429498</v>
      </c>
      <c r="S168" s="20">
        <f>措施后变化!F168*0.06</f>
        <v>486457.67194289988</v>
      </c>
      <c r="T168" s="20">
        <f t="shared" si="132"/>
        <v>972915.34388579975</v>
      </c>
    </row>
    <row r="169" spans="1:20" x14ac:dyDescent="0.15">
      <c r="A169" s="20">
        <v>2027</v>
      </c>
      <c r="B169" s="20">
        <v>0</v>
      </c>
      <c r="D169" s="20">
        <f t="shared" si="133"/>
        <v>932481.88000000012</v>
      </c>
      <c r="E169" s="20">
        <f t="shared" si="128"/>
        <v>1997527.7180857002</v>
      </c>
      <c r="F169" s="20">
        <v>6639158.1944700014</v>
      </c>
      <c r="G169" s="20">
        <v>0.12</v>
      </c>
      <c r="H169" s="20">
        <f t="shared" si="134"/>
        <v>3709148.5963843009</v>
      </c>
      <c r="I169" s="20">
        <f t="shared" si="137"/>
        <v>12528497.539958198</v>
      </c>
      <c r="J169" s="22"/>
      <c r="M169" s="20">
        <v>2027</v>
      </c>
      <c r="N169" s="20">
        <f t="shared" si="135"/>
        <v>863090.56528110022</v>
      </c>
      <c r="O169" s="20">
        <f t="shared" si="129"/>
        <v>0</v>
      </c>
      <c r="P169" s="20">
        <f t="shared" si="130"/>
        <v>0</v>
      </c>
      <c r="Q169" s="20">
        <f t="shared" si="131"/>
        <v>60611.32220000001</v>
      </c>
      <c r="R169" s="20">
        <f t="shared" si="136"/>
        <v>802479.24308110017</v>
      </c>
      <c r="S169" s="20">
        <f>措施后变化!F169*0.06</f>
        <v>398349.49166820006</v>
      </c>
      <c r="T169" s="20">
        <f t="shared" si="132"/>
        <v>796698.98333640012</v>
      </c>
    </row>
    <row r="170" spans="1:20" x14ac:dyDescent="0.15">
      <c r="A170" s="20">
        <v>2028</v>
      </c>
      <c r="B170" s="20">
        <v>0</v>
      </c>
      <c r="D170" s="20">
        <f t="shared" si="133"/>
        <v>774919.86</v>
      </c>
      <c r="E170" s="20">
        <f t="shared" si="128"/>
        <v>1376897.037027</v>
      </c>
      <c r="F170" s="20">
        <v>4604086.5416999999</v>
      </c>
      <c r="G170" s="20">
        <v>0.12</v>
      </c>
      <c r="H170" s="20">
        <f t="shared" si="134"/>
        <v>2452269.6446730001</v>
      </c>
      <c r="I170" s="20">
        <f t="shared" si="137"/>
        <v>14980767.184631199</v>
      </c>
      <c r="J170" s="22"/>
      <c r="M170" s="20">
        <v>2028</v>
      </c>
      <c r="N170" s="20">
        <f t="shared" si="135"/>
        <v>598531.25042100006</v>
      </c>
      <c r="O170" s="20">
        <f t="shared" si="129"/>
        <v>0</v>
      </c>
      <c r="P170" s="20">
        <f t="shared" si="130"/>
        <v>0</v>
      </c>
      <c r="Q170" s="20">
        <f t="shared" si="131"/>
        <v>50369.7909</v>
      </c>
      <c r="R170" s="20">
        <f t="shared" si="136"/>
        <v>548161.45952100004</v>
      </c>
      <c r="S170" s="20">
        <f>措施后变化!F170*0.06</f>
        <v>276245.19250199996</v>
      </c>
      <c r="T170" s="20">
        <f t="shared" si="132"/>
        <v>552490.38500399992</v>
      </c>
    </row>
    <row r="171" spans="1:20" x14ac:dyDescent="0.15">
      <c r="A171" s="20">
        <v>2029</v>
      </c>
      <c r="B171" s="20">
        <v>0</v>
      </c>
      <c r="D171" s="20">
        <f t="shared" si="133"/>
        <v>646014.76500000013</v>
      </c>
      <c r="E171" s="20">
        <f t="shared" si="128"/>
        <v>868024.85638192506</v>
      </c>
      <c r="F171" s="20">
        <v>2935534.8906675</v>
      </c>
      <c r="G171" s="20">
        <v>0.12</v>
      </c>
      <c r="H171" s="20">
        <f t="shared" si="134"/>
        <v>1421495.2692855748</v>
      </c>
      <c r="I171" s="20">
        <f t="shared" si="137"/>
        <v>16402262.453916773</v>
      </c>
      <c r="J171" s="22"/>
      <c r="M171" s="20">
        <v>2029</v>
      </c>
      <c r="N171" s="20">
        <f t="shared" si="135"/>
        <v>381619.535786775</v>
      </c>
      <c r="O171" s="20">
        <f t="shared" si="129"/>
        <v>0</v>
      </c>
      <c r="P171" s="20">
        <f t="shared" si="130"/>
        <v>0</v>
      </c>
      <c r="Q171" s="20">
        <f t="shared" si="131"/>
        <v>41990.959725000008</v>
      </c>
      <c r="R171" s="20">
        <f t="shared" si="136"/>
        <v>339628.57606177498</v>
      </c>
      <c r="S171" s="20">
        <f>措施后变化!F171*0.06</f>
        <v>176132.09344005</v>
      </c>
      <c r="T171" s="20">
        <f t="shared" si="132"/>
        <v>352264.18688009999</v>
      </c>
    </row>
    <row r="172" spans="1:20" x14ac:dyDescent="0.15">
      <c r="A172" s="20">
        <v>2030</v>
      </c>
      <c r="B172" s="20">
        <v>0</v>
      </c>
      <c r="D172" s="20">
        <f t="shared" si="133"/>
        <v>605923.12</v>
      </c>
      <c r="E172" s="20">
        <f t="shared" si="128"/>
        <v>622080.78188559983</v>
      </c>
      <c r="F172" s="20">
        <v>2133760.5957599995</v>
      </c>
      <c r="G172" s="20">
        <v>0.12</v>
      </c>
      <c r="H172" s="20">
        <f t="shared" si="134"/>
        <v>905756.69387439976</v>
      </c>
      <c r="I172" s="20">
        <f t="shared" si="137"/>
        <v>17308019.147791173</v>
      </c>
      <c r="J172" s="22"/>
      <c r="M172" s="20">
        <v>2030</v>
      </c>
      <c r="N172" s="20">
        <f t="shared" si="135"/>
        <v>277388.87744879996</v>
      </c>
      <c r="O172" s="20">
        <f t="shared" si="129"/>
        <v>0</v>
      </c>
      <c r="P172" s="20">
        <f t="shared" si="130"/>
        <v>0</v>
      </c>
      <c r="Q172" s="20">
        <f t="shared" si="131"/>
        <v>39385.002800000002</v>
      </c>
      <c r="R172" s="20">
        <f t="shared" si="136"/>
        <v>238003.87464879995</v>
      </c>
      <c r="S172" s="20">
        <f>措施后变化!F172*0.06</f>
        <v>128025.63574559997</v>
      </c>
      <c r="T172" s="20">
        <f t="shared" si="132"/>
        <v>256051.27149119994</v>
      </c>
    </row>
    <row r="174" spans="1:20" x14ac:dyDescent="0.15">
      <c r="A174" s="20" t="s">
        <v>1</v>
      </c>
      <c r="B174" s="20" t="s">
        <v>96</v>
      </c>
      <c r="C174" s="20" t="s">
        <v>4</v>
      </c>
      <c r="D174" s="20" t="s">
        <v>6</v>
      </c>
      <c r="E174" s="20" t="s">
        <v>72</v>
      </c>
      <c r="F174" s="20" t="s">
        <v>97</v>
      </c>
      <c r="G174" s="20" t="s">
        <v>8</v>
      </c>
      <c r="H174" s="20" t="s">
        <v>98</v>
      </c>
      <c r="I174" s="20" t="s">
        <v>100</v>
      </c>
      <c r="J174" s="20" t="s">
        <v>101</v>
      </c>
      <c r="K174" s="20" t="s">
        <v>110</v>
      </c>
      <c r="N174" s="20" t="s">
        <v>74</v>
      </c>
      <c r="O174" s="20" t="s">
        <v>105</v>
      </c>
      <c r="P174" s="20" t="s">
        <v>107</v>
      </c>
      <c r="Q174" s="20" t="s">
        <v>108</v>
      </c>
      <c r="R174" s="20" t="s">
        <v>76</v>
      </c>
      <c r="S174" s="20" t="s">
        <v>78</v>
      </c>
      <c r="T174" s="20" t="s">
        <v>104</v>
      </c>
    </row>
    <row r="175" spans="1:20" x14ac:dyDescent="0.15">
      <c r="A175" s="20">
        <v>2021</v>
      </c>
      <c r="B175" s="20">
        <v>1820000</v>
      </c>
      <c r="C175" s="20">
        <v>1293400</v>
      </c>
      <c r="D175" s="20">
        <f>D151*1.2</f>
        <v>44696.880000000063</v>
      </c>
      <c r="E175" s="20">
        <f t="shared" ref="E175:E184" si="138">R175+S175+T175</f>
        <v>44636.413594500074</v>
      </c>
      <c r="F175" s="20">
        <v>247980.0755250004</v>
      </c>
      <c r="G175" s="20">
        <v>0.12</v>
      </c>
      <c r="H175" s="20">
        <f>F175-E175-D175-C175-B175</f>
        <v>-2954753.2180694998</v>
      </c>
      <c r="I175" s="20">
        <f>H175</f>
        <v>-2954753.2180694998</v>
      </c>
      <c r="J175" s="22">
        <f>IRR(H175:H184)</f>
        <v>0.45130876779819618</v>
      </c>
      <c r="K175" s="20" t="s">
        <v>124</v>
      </c>
      <c r="M175" s="20">
        <v>2021</v>
      </c>
      <c r="N175" s="20">
        <f>F175*0.13</f>
        <v>32237.409818250053</v>
      </c>
      <c r="O175" s="20">
        <f t="shared" ref="O175:O184" si="139">B175*0.13</f>
        <v>236600</v>
      </c>
      <c r="P175" s="20">
        <f t="shared" ref="P175:P184" si="140">C175*0.13*0.8</f>
        <v>134513.60000000001</v>
      </c>
      <c r="Q175" s="20">
        <f t="shared" ref="Q175:Q184" si="141">D175*0.13*0.5</f>
        <v>2905.2972000000041</v>
      </c>
      <c r="R175" s="20">
        <f>IF(N175-O175-P175-Q175&gt;0,N175-O175-P175-Q175,0)</f>
        <v>0</v>
      </c>
      <c r="S175" s="20">
        <f>措施后变化!F175*0.06</f>
        <v>14878.804531500024</v>
      </c>
      <c r="T175" s="20">
        <f t="shared" ref="T175:T184" si="142">F175*0.12</f>
        <v>29757.609063000047</v>
      </c>
    </row>
    <row r="176" spans="1:20" x14ac:dyDescent="0.15">
      <c r="A176" s="20">
        <v>2022</v>
      </c>
      <c r="B176" s="20">
        <v>0</v>
      </c>
      <c r="C176" s="20">
        <v>3723525</v>
      </c>
      <c r="D176" s="20">
        <f t="shared" ref="D176:D184" si="143">D152*1.2</f>
        <v>367734.96</v>
      </c>
      <c r="E176" s="20">
        <f t="shared" si="138"/>
        <v>772538.55469829973</v>
      </c>
      <c r="F176" s="20">
        <v>3818348.1519299992</v>
      </c>
      <c r="G176" s="20">
        <v>0.12</v>
      </c>
      <c r="H176" s="20">
        <f t="shared" ref="H176:H184" si="144">F176-E176-D176-C176-B176</f>
        <v>-1045450.3627683003</v>
      </c>
      <c r="I176" s="20">
        <f>I175+H176</f>
        <v>-4000203.5808378002</v>
      </c>
      <c r="J176" s="22"/>
      <c r="M176" s="20">
        <v>2022</v>
      </c>
      <c r="N176" s="20">
        <f t="shared" ref="N176:N184" si="145">F176*0.13</f>
        <v>496385.25975089992</v>
      </c>
      <c r="O176" s="20">
        <f t="shared" si="139"/>
        <v>0</v>
      </c>
      <c r="P176" s="20">
        <f t="shared" si="140"/>
        <v>387246.60000000003</v>
      </c>
      <c r="Q176" s="20">
        <f t="shared" si="141"/>
        <v>23902.772400000002</v>
      </c>
      <c r="R176" s="20">
        <f t="shared" ref="R176:R184" si="146">IF(N176-O176-P176-Q176&gt;0,N176-O176-P176-Q176,0)</f>
        <v>85235.88735089988</v>
      </c>
      <c r="S176" s="20">
        <f>措施后变化!F176*0.06</f>
        <v>229100.88911579995</v>
      </c>
      <c r="T176" s="20">
        <f t="shared" si="142"/>
        <v>458201.77823159989</v>
      </c>
    </row>
    <row r="177" spans="1:20" x14ac:dyDescent="0.15">
      <c r="A177" s="20">
        <v>2023</v>
      </c>
      <c r="B177" s="20">
        <v>0</v>
      </c>
      <c r="C177" s="20">
        <v>2112101</v>
      </c>
      <c r="D177" s="20">
        <f t="shared" si="143"/>
        <v>511532.6399999999</v>
      </c>
      <c r="E177" s="20">
        <f t="shared" si="138"/>
        <v>1099655.2810291997</v>
      </c>
      <c r="F177" s="20">
        <v>4363107.763319999</v>
      </c>
      <c r="G177" s="20">
        <v>0.12</v>
      </c>
      <c r="H177" s="20">
        <f t="shared" si="144"/>
        <v>639818.84229079913</v>
      </c>
      <c r="I177" s="20">
        <f>I176+H177</f>
        <v>-3360384.738547001</v>
      </c>
      <c r="J177" s="22"/>
      <c r="M177" s="20">
        <v>2023</v>
      </c>
      <c r="N177" s="20">
        <f t="shared" si="145"/>
        <v>567204.00923159986</v>
      </c>
      <c r="O177" s="20">
        <f t="shared" si="139"/>
        <v>0</v>
      </c>
      <c r="P177" s="20">
        <f t="shared" si="140"/>
        <v>219658.50400000002</v>
      </c>
      <c r="Q177" s="20">
        <f t="shared" si="141"/>
        <v>33249.621599999991</v>
      </c>
      <c r="R177" s="20">
        <f t="shared" si="146"/>
        <v>314295.88363159983</v>
      </c>
      <c r="S177" s="20">
        <f>措施后变化!F177*0.06</f>
        <v>261786.46579919994</v>
      </c>
      <c r="T177" s="20">
        <f t="shared" si="142"/>
        <v>523572.93159839988</v>
      </c>
    </row>
    <row r="178" spans="1:20" x14ac:dyDescent="0.15">
      <c r="A178" s="20">
        <v>2024</v>
      </c>
      <c r="B178" s="20">
        <v>0</v>
      </c>
      <c r="C178" s="20">
        <v>1875181</v>
      </c>
      <c r="D178" s="20">
        <f t="shared" si="143"/>
        <v>866293.44</v>
      </c>
      <c r="E178" s="20">
        <f t="shared" si="138"/>
        <v>2417928.7968723997</v>
      </c>
      <c r="F178" s="20">
        <v>8610505.4660400003</v>
      </c>
      <c r="G178" s="20">
        <v>0.12</v>
      </c>
      <c r="H178" s="20">
        <f t="shared" si="144"/>
        <v>3451102.2291676011</v>
      </c>
      <c r="I178" s="20">
        <f t="shared" ref="I178:I184" si="147">I177+H178</f>
        <v>90717.49062060006</v>
      </c>
      <c r="J178" s="22"/>
      <c r="M178" s="20">
        <v>2024</v>
      </c>
      <c r="N178" s="20">
        <f t="shared" si="145"/>
        <v>1119365.7105852</v>
      </c>
      <c r="O178" s="20">
        <f t="shared" si="139"/>
        <v>0</v>
      </c>
      <c r="P178" s="20">
        <f t="shared" si="140"/>
        <v>195018.82400000002</v>
      </c>
      <c r="Q178" s="20">
        <f t="shared" si="141"/>
        <v>56309.073599999996</v>
      </c>
      <c r="R178" s="20">
        <f t="shared" si="146"/>
        <v>868037.81298519997</v>
      </c>
      <c r="S178" s="20">
        <f>措施后变化!F178*0.06</f>
        <v>516630.32796239998</v>
      </c>
      <c r="T178" s="20">
        <f t="shared" si="142"/>
        <v>1033260.6559248</v>
      </c>
    </row>
    <row r="179" spans="1:20" x14ac:dyDescent="0.15">
      <c r="A179" s="20">
        <v>2025</v>
      </c>
      <c r="B179" s="20">
        <v>0</v>
      </c>
      <c r="C179" s="20">
        <v>1106364</v>
      </c>
      <c r="D179" s="20">
        <f t="shared" si="143"/>
        <v>1115820.1200000001</v>
      </c>
      <c r="E179" s="20">
        <f t="shared" si="138"/>
        <v>2469306.9353950508</v>
      </c>
      <c r="F179" s="20">
        <v>8570635.8038550019</v>
      </c>
      <c r="G179" s="20">
        <v>0.12</v>
      </c>
      <c r="H179" s="20">
        <f t="shared" si="144"/>
        <v>3879144.748459951</v>
      </c>
      <c r="I179" s="20">
        <f t="shared" si="147"/>
        <v>3969862.2390805511</v>
      </c>
      <c r="J179" s="22"/>
      <c r="M179" s="20">
        <v>2025</v>
      </c>
      <c r="N179" s="20">
        <f t="shared" si="145"/>
        <v>1114182.6545011504</v>
      </c>
      <c r="O179" s="20">
        <f t="shared" si="139"/>
        <v>0</v>
      </c>
      <c r="P179" s="20">
        <f t="shared" si="140"/>
        <v>115061.85600000001</v>
      </c>
      <c r="Q179" s="20">
        <f t="shared" si="141"/>
        <v>72528.30780000001</v>
      </c>
      <c r="R179" s="20">
        <f t="shared" si="146"/>
        <v>926592.49070115038</v>
      </c>
      <c r="S179" s="20">
        <f>措施后变化!F179*0.06</f>
        <v>514238.14823130012</v>
      </c>
      <c r="T179" s="20">
        <f t="shared" si="142"/>
        <v>1028476.2964626002</v>
      </c>
    </row>
    <row r="180" spans="1:20" x14ac:dyDescent="0.15">
      <c r="A180" s="20">
        <v>2026</v>
      </c>
      <c r="B180" s="20">
        <v>0</v>
      </c>
      <c r="D180" s="20">
        <f t="shared" si="143"/>
        <v>1133437.68</v>
      </c>
      <c r="E180" s="20">
        <f t="shared" si="138"/>
        <v>2439691.1891716495</v>
      </c>
      <c r="F180" s="20">
        <v>8107627.865714998</v>
      </c>
      <c r="G180" s="20">
        <v>0.12</v>
      </c>
      <c r="H180" s="20">
        <f t="shared" si="144"/>
        <v>4534498.9965433488</v>
      </c>
      <c r="I180" s="20">
        <f t="shared" si="147"/>
        <v>8504361.2356238998</v>
      </c>
      <c r="J180" s="22"/>
      <c r="M180" s="20">
        <v>2026</v>
      </c>
      <c r="N180" s="20">
        <f t="shared" si="145"/>
        <v>1053991.6225429499</v>
      </c>
      <c r="O180" s="20">
        <f t="shared" si="139"/>
        <v>0</v>
      </c>
      <c r="P180" s="20">
        <f t="shared" si="140"/>
        <v>0</v>
      </c>
      <c r="Q180" s="20">
        <f t="shared" si="141"/>
        <v>73673.449200000003</v>
      </c>
      <c r="R180" s="20">
        <f t="shared" si="146"/>
        <v>980318.17334294983</v>
      </c>
      <c r="S180" s="20">
        <f>措施后变化!F180*0.06</f>
        <v>486457.67194289988</v>
      </c>
      <c r="T180" s="20">
        <f t="shared" si="142"/>
        <v>972915.34388579975</v>
      </c>
    </row>
    <row r="181" spans="1:20" x14ac:dyDescent="0.15">
      <c r="A181" s="20">
        <v>2027</v>
      </c>
      <c r="B181" s="20">
        <v>0</v>
      </c>
      <c r="D181" s="20">
        <f t="shared" si="143"/>
        <v>1017252.96</v>
      </c>
      <c r="E181" s="20">
        <f t="shared" si="138"/>
        <v>1992017.5978857004</v>
      </c>
      <c r="F181" s="20">
        <v>6639158.1944700014</v>
      </c>
      <c r="G181" s="20">
        <v>0.12</v>
      </c>
      <c r="H181" s="20">
        <f t="shared" si="144"/>
        <v>3629887.6365843015</v>
      </c>
      <c r="I181" s="20">
        <f t="shared" si="147"/>
        <v>12134248.8722082</v>
      </c>
      <c r="J181" s="22"/>
      <c r="M181" s="20">
        <v>2027</v>
      </c>
      <c r="N181" s="20">
        <f t="shared" si="145"/>
        <v>863090.56528110022</v>
      </c>
      <c r="O181" s="20">
        <f t="shared" si="139"/>
        <v>0</v>
      </c>
      <c r="P181" s="20">
        <f t="shared" si="140"/>
        <v>0</v>
      </c>
      <c r="Q181" s="20">
        <f t="shared" si="141"/>
        <v>66121.4424</v>
      </c>
      <c r="R181" s="20">
        <f t="shared" si="146"/>
        <v>796969.12288110028</v>
      </c>
      <c r="S181" s="20">
        <f>措施后变化!F181*0.06</f>
        <v>398349.49166820006</v>
      </c>
      <c r="T181" s="20">
        <f t="shared" si="142"/>
        <v>796698.98333640012</v>
      </c>
    </row>
    <row r="182" spans="1:20" x14ac:dyDescent="0.15">
      <c r="A182" s="20">
        <v>2028</v>
      </c>
      <c r="B182" s="20">
        <v>0</v>
      </c>
      <c r="D182" s="20">
        <f t="shared" si="143"/>
        <v>845367.12</v>
      </c>
      <c r="E182" s="20">
        <f t="shared" si="138"/>
        <v>1372317.9651270001</v>
      </c>
      <c r="F182" s="20">
        <v>4604086.5416999999</v>
      </c>
      <c r="G182" s="20">
        <v>0.12</v>
      </c>
      <c r="H182" s="20">
        <f t="shared" si="144"/>
        <v>2386401.4565729997</v>
      </c>
      <c r="I182" s="20">
        <f t="shared" si="147"/>
        <v>14520650.328781201</v>
      </c>
      <c r="J182" s="22"/>
      <c r="M182" s="20">
        <v>2028</v>
      </c>
      <c r="N182" s="20">
        <f t="shared" si="145"/>
        <v>598531.25042100006</v>
      </c>
      <c r="O182" s="20">
        <f t="shared" si="139"/>
        <v>0</v>
      </c>
      <c r="P182" s="20">
        <f t="shared" si="140"/>
        <v>0</v>
      </c>
      <c r="Q182" s="20">
        <f t="shared" si="141"/>
        <v>54948.862800000003</v>
      </c>
      <c r="R182" s="20">
        <f t="shared" si="146"/>
        <v>543582.38762100006</v>
      </c>
      <c r="S182" s="20">
        <f>措施后变化!F182*0.06</f>
        <v>276245.19250199996</v>
      </c>
      <c r="T182" s="20">
        <f t="shared" si="142"/>
        <v>552490.38500399992</v>
      </c>
    </row>
    <row r="183" spans="1:20" x14ac:dyDescent="0.15">
      <c r="A183" s="20">
        <v>2029</v>
      </c>
      <c r="B183" s="20">
        <v>0</v>
      </c>
      <c r="D183" s="20">
        <f t="shared" si="143"/>
        <v>704743.38</v>
      </c>
      <c r="E183" s="20">
        <f t="shared" si="138"/>
        <v>864207.49640692491</v>
      </c>
      <c r="F183" s="20">
        <v>2935534.8906675</v>
      </c>
      <c r="G183" s="20">
        <v>0.12</v>
      </c>
      <c r="H183" s="20">
        <f t="shared" si="144"/>
        <v>1366584.0142605752</v>
      </c>
      <c r="I183" s="20">
        <f t="shared" si="147"/>
        <v>15887234.343041776</v>
      </c>
      <c r="J183" s="22"/>
      <c r="M183" s="20">
        <v>2029</v>
      </c>
      <c r="N183" s="20">
        <f t="shared" si="145"/>
        <v>381619.535786775</v>
      </c>
      <c r="O183" s="20">
        <f t="shared" si="139"/>
        <v>0</v>
      </c>
      <c r="P183" s="20">
        <f t="shared" si="140"/>
        <v>0</v>
      </c>
      <c r="Q183" s="20">
        <f t="shared" si="141"/>
        <v>45808.3197</v>
      </c>
      <c r="R183" s="20">
        <f t="shared" si="146"/>
        <v>335811.21608677501</v>
      </c>
      <c r="S183" s="20">
        <f>措施后变化!F183*0.06</f>
        <v>176132.09344005</v>
      </c>
      <c r="T183" s="20">
        <f t="shared" si="142"/>
        <v>352264.18688009999</v>
      </c>
    </row>
    <row r="184" spans="1:20" x14ac:dyDescent="0.15">
      <c r="A184" s="20">
        <v>2030</v>
      </c>
      <c r="B184" s="20">
        <v>0</v>
      </c>
      <c r="D184" s="20">
        <f t="shared" si="143"/>
        <v>661007.03999999992</v>
      </c>
      <c r="E184" s="20">
        <f t="shared" si="138"/>
        <v>618500.32708559989</v>
      </c>
      <c r="F184" s="20">
        <v>2133760.5957599995</v>
      </c>
      <c r="G184" s="20">
        <v>0.12</v>
      </c>
      <c r="H184" s="20">
        <f t="shared" si="144"/>
        <v>854253.22867439978</v>
      </c>
      <c r="I184" s="20">
        <f t="shared" si="147"/>
        <v>16741487.571716176</v>
      </c>
      <c r="J184" s="22"/>
      <c r="M184" s="20">
        <v>2030</v>
      </c>
      <c r="N184" s="20">
        <f t="shared" si="145"/>
        <v>277388.87744879996</v>
      </c>
      <c r="O184" s="20">
        <f t="shared" si="139"/>
        <v>0</v>
      </c>
      <c r="P184" s="20">
        <f t="shared" si="140"/>
        <v>0</v>
      </c>
      <c r="Q184" s="20">
        <f t="shared" si="141"/>
        <v>42965.457599999994</v>
      </c>
      <c r="R184" s="20">
        <f t="shared" si="146"/>
        <v>234423.41984879997</v>
      </c>
      <c r="S184" s="20">
        <f>措施后变化!F184*0.06</f>
        <v>128025.63574559997</v>
      </c>
      <c r="T184" s="20">
        <f t="shared" si="142"/>
        <v>256051.27149119994</v>
      </c>
    </row>
    <row r="186" spans="1:20" x14ac:dyDescent="0.15">
      <c r="A186" s="20" t="s">
        <v>1</v>
      </c>
      <c r="B186" s="20" t="s">
        <v>96</v>
      </c>
      <c r="C186" s="20" t="s">
        <v>4</v>
      </c>
      <c r="D186" s="20" t="s">
        <v>6</v>
      </c>
      <c r="E186" s="20" t="s">
        <v>72</v>
      </c>
      <c r="F186" s="20" t="s">
        <v>97</v>
      </c>
      <c r="G186" s="20" t="s">
        <v>8</v>
      </c>
      <c r="H186" s="20" t="s">
        <v>98</v>
      </c>
      <c r="I186" s="20" t="s">
        <v>100</v>
      </c>
      <c r="J186" s="20" t="s">
        <v>101</v>
      </c>
      <c r="K186" s="20" t="s">
        <v>110</v>
      </c>
      <c r="N186" s="20" t="s">
        <v>74</v>
      </c>
      <c r="O186" s="20" t="s">
        <v>105</v>
      </c>
      <c r="P186" s="20" t="s">
        <v>107</v>
      </c>
      <c r="Q186" s="20" t="s">
        <v>108</v>
      </c>
      <c r="R186" s="20" t="s">
        <v>76</v>
      </c>
      <c r="S186" s="20" t="s">
        <v>78</v>
      </c>
      <c r="T186" s="20" t="s">
        <v>104</v>
      </c>
    </row>
    <row r="187" spans="1:20" x14ac:dyDescent="0.15">
      <c r="A187" s="20">
        <v>2021</v>
      </c>
      <c r="B187" s="20">
        <v>1820000</v>
      </c>
      <c r="C187" s="20">
        <v>1293400</v>
      </c>
      <c r="D187" s="20">
        <f>D151*1.3</f>
        <v>48421.620000000068</v>
      </c>
      <c r="E187" s="20">
        <f t="shared" ref="E187:E196" si="148">R187+S187+T187</f>
        <v>44636.413594500074</v>
      </c>
      <c r="F187" s="20">
        <v>247980.0755250004</v>
      </c>
      <c r="G187" s="20">
        <v>0.12</v>
      </c>
      <c r="H187" s="20">
        <f>F187-E187-D187-C187-B187</f>
        <v>-2958477.9580694996</v>
      </c>
      <c r="I187" s="20">
        <f>H187</f>
        <v>-2958477.9580694996</v>
      </c>
      <c r="J187" s="22">
        <f>IRR(H187:H196)</f>
        <v>0.43982585910412908</v>
      </c>
      <c r="K187" s="20" t="s">
        <v>125</v>
      </c>
      <c r="M187" s="20">
        <v>2021</v>
      </c>
      <c r="N187" s="20">
        <f>F187*0.13</f>
        <v>32237.409818250053</v>
      </c>
      <c r="O187" s="20">
        <f t="shared" ref="O187:O196" si="149">B187*0.13</f>
        <v>236600</v>
      </c>
      <c r="P187" s="20">
        <f t="shared" ref="P187:P196" si="150">C187*0.13*0.8</f>
        <v>134513.60000000001</v>
      </c>
      <c r="Q187" s="20">
        <f t="shared" ref="Q187:Q196" si="151">D187*0.13*0.5</f>
        <v>3147.4053000000044</v>
      </c>
      <c r="R187" s="20">
        <f>IF(N187-O187-P187-Q187&gt;0,N187-O187-P187-Q187,0)</f>
        <v>0</v>
      </c>
      <c r="S187" s="20">
        <f>措施后变化!F187*0.06</f>
        <v>14878.804531500024</v>
      </c>
      <c r="T187" s="20">
        <f t="shared" ref="T187:T196" si="152">F187*0.12</f>
        <v>29757.609063000047</v>
      </c>
    </row>
    <row r="188" spans="1:20" x14ac:dyDescent="0.15">
      <c r="A188" s="20">
        <v>2022</v>
      </c>
      <c r="B188" s="20">
        <v>0</v>
      </c>
      <c r="C188" s="20">
        <v>3723525</v>
      </c>
      <c r="D188" s="20">
        <f t="shared" ref="D188:D196" si="153">D152*1.3</f>
        <v>398379.5400000001</v>
      </c>
      <c r="E188" s="20">
        <f t="shared" si="148"/>
        <v>770546.65699829976</v>
      </c>
      <c r="F188" s="20">
        <v>3818348.1519299992</v>
      </c>
      <c r="G188" s="20">
        <v>0.12</v>
      </c>
      <c r="H188" s="20">
        <f t="shared" ref="H188:H196" si="154">F188-E188-D188-C188-B188</f>
        <v>-1074103.0450683003</v>
      </c>
      <c r="I188" s="20">
        <f>I187+H188</f>
        <v>-4032581.0031377999</v>
      </c>
      <c r="J188" s="22"/>
      <c r="M188" s="20">
        <v>2022</v>
      </c>
      <c r="N188" s="20">
        <f t="shared" ref="N188:N196" si="155">F188*0.13</f>
        <v>496385.25975089992</v>
      </c>
      <c r="O188" s="20">
        <f t="shared" si="149"/>
        <v>0</v>
      </c>
      <c r="P188" s="20">
        <f t="shared" si="150"/>
        <v>387246.60000000003</v>
      </c>
      <c r="Q188" s="20">
        <f t="shared" si="151"/>
        <v>25894.670100000007</v>
      </c>
      <c r="R188" s="20">
        <f t="shared" ref="R188:R196" si="156">IF(N188-O188-P188-Q188&gt;0,N188-O188-P188-Q188,0)</f>
        <v>83243.989650899879</v>
      </c>
      <c r="S188" s="20">
        <f>措施后变化!F188*0.06</f>
        <v>229100.88911579995</v>
      </c>
      <c r="T188" s="20">
        <f t="shared" si="152"/>
        <v>458201.77823159989</v>
      </c>
    </row>
    <row r="189" spans="1:20" x14ac:dyDescent="0.15">
      <c r="A189" s="20">
        <v>2023</v>
      </c>
      <c r="B189" s="20">
        <v>0</v>
      </c>
      <c r="C189" s="20">
        <v>2112101</v>
      </c>
      <c r="D189" s="20">
        <f t="shared" si="153"/>
        <v>554160.36</v>
      </c>
      <c r="E189" s="20">
        <f t="shared" si="148"/>
        <v>1096884.4792291997</v>
      </c>
      <c r="F189" s="20">
        <v>4363107.763319999</v>
      </c>
      <c r="G189" s="20">
        <v>0.12</v>
      </c>
      <c r="H189" s="20">
        <f t="shared" si="154"/>
        <v>599961.92409079941</v>
      </c>
      <c r="I189" s="20">
        <f>I188+H189</f>
        <v>-3432619.0790470005</v>
      </c>
      <c r="J189" s="22"/>
      <c r="M189" s="20">
        <v>2023</v>
      </c>
      <c r="N189" s="20">
        <f t="shared" si="155"/>
        <v>567204.00923159986</v>
      </c>
      <c r="O189" s="20">
        <f t="shared" si="149"/>
        <v>0</v>
      </c>
      <c r="P189" s="20">
        <f t="shared" si="150"/>
        <v>219658.50400000002</v>
      </c>
      <c r="Q189" s="20">
        <f t="shared" si="151"/>
        <v>36020.4234</v>
      </c>
      <c r="R189" s="20">
        <f t="shared" si="156"/>
        <v>311525.08183159982</v>
      </c>
      <c r="S189" s="20">
        <f>措施后变化!F189*0.06</f>
        <v>261786.46579919994</v>
      </c>
      <c r="T189" s="20">
        <f t="shared" si="152"/>
        <v>523572.93159839988</v>
      </c>
    </row>
    <row r="190" spans="1:20" x14ac:dyDescent="0.15">
      <c r="A190" s="20">
        <v>2024</v>
      </c>
      <c r="B190" s="20">
        <v>0</v>
      </c>
      <c r="C190" s="20">
        <v>1875181</v>
      </c>
      <c r="D190" s="20">
        <f t="shared" si="153"/>
        <v>938484.55999999994</v>
      </c>
      <c r="E190" s="20">
        <f t="shared" si="148"/>
        <v>2413236.3740723999</v>
      </c>
      <c r="F190" s="20">
        <v>8610505.4660400003</v>
      </c>
      <c r="G190" s="20">
        <v>0.12</v>
      </c>
      <c r="H190" s="20">
        <f t="shared" si="154"/>
        <v>3383603.5319676008</v>
      </c>
      <c r="I190" s="20">
        <f t="shared" ref="I190:I196" si="157">I189+H190</f>
        <v>-49015.547079399694</v>
      </c>
      <c r="J190" s="22"/>
      <c r="M190" s="20">
        <v>2024</v>
      </c>
      <c r="N190" s="20">
        <f t="shared" si="155"/>
        <v>1119365.7105852</v>
      </c>
      <c r="O190" s="20">
        <f t="shared" si="149"/>
        <v>0</v>
      </c>
      <c r="P190" s="20">
        <f t="shared" si="150"/>
        <v>195018.82400000002</v>
      </c>
      <c r="Q190" s="20">
        <f t="shared" si="151"/>
        <v>61001.496399999996</v>
      </c>
      <c r="R190" s="20">
        <f t="shared" si="156"/>
        <v>863345.39018520003</v>
      </c>
      <c r="S190" s="20">
        <f>措施后变化!F190*0.06</f>
        <v>516630.32796239998</v>
      </c>
      <c r="T190" s="20">
        <f t="shared" si="152"/>
        <v>1033260.6559248</v>
      </c>
    </row>
    <row r="191" spans="1:20" x14ac:dyDescent="0.15">
      <c r="A191" s="20">
        <v>2025</v>
      </c>
      <c r="B191" s="20">
        <v>0</v>
      </c>
      <c r="C191" s="20">
        <v>1106364</v>
      </c>
      <c r="D191" s="20">
        <f t="shared" si="153"/>
        <v>1208805.1300000001</v>
      </c>
      <c r="E191" s="20">
        <f t="shared" si="148"/>
        <v>2463262.9097450506</v>
      </c>
      <c r="F191" s="20">
        <v>8570635.8038550019</v>
      </c>
      <c r="G191" s="20">
        <v>0.12</v>
      </c>
      <c r="H191" s="20">
        <f t="shared" si="154"/>
        <v>3792203.7641099514</v>
      </c>
      <c r="I191" s="20">
        <f t="shared" si="157"/>
        <v>3743188.2170305518</v>
      </c>
      <c r="J191" s="22"/>
      <c r="M191" s="20">
        <v>2025</v>
      </c>
      <c r="N191" s="20">
        <f t="shared" si="155"/>
        <v>1114182.6545011504</v>
      </c>
      <c r="O191" s="20">
        <f t="shared" si="149"/>
        <v>0</v>
      </c>
      <c r="P191" s="20">
        <f t="shared" si="150"/>
        <v>115061.85600000001</v>
      </c>
      <c r="Q191" s="20">
        <f t="shared" si="151"/>
        <v>78572.333450000006</v>
      </c>
      <c r="R191" s="20">
        <f t="shared" si="156"/>
        <v>920548.4650511503</v>
      </c>
      <c r="S191" s="20">
        <f>措施后变化!F191*0.06</f>
        <v>514238.14823130012</v>
      </c>
      <c r="T191" s="20">
        <f t="shared" si="152"/>
        <v>1028476.2964626002</v>
      </c>
    </row>
    <row r="192" spans="1:20" x14ac:dyDescent="0.15">
      <c r="A192" s="20">
        <v>2026</v>
      </c>
      <c r="B192" s="20">
        <v>0</v>
      </c>
      <c r="D192" s="20">
        <f t="shared" si="153"/>
        <v>1227890.82</v>
      </c>
      <c r="E192" s="20">
        <f t="shared" si="148"/>
        <v>2433551.7350716493</v>
      </c>
      <c r="F192" s="20">
        <v>8107627.865714998</v>
      </c>
      <c r="G192" s="20">
        <v>0.12</v>
      </c>
      <c r="H192" s="20">
        <f t="shared" si="154"/>
        <v>4446185.3106433488</v>
      </c>
      <c r="I192" s="20">
        <f t="shared" si="157"/>
        <v>8189373.5276739001</v>
      </c>
      <c r="J192" s="22"/>
      <c r="M192" s="20">
        <v>2026</v>
      </c>
      <c r="N192" s="20">
        <f t="shared" si="155"/>
        <v>1053991.6225429499</v>
      </c>
      <c r="O192" s="20">
        <f t="shared" si="149"/>
        <v>0</v>
      </c>
      <c r="P192" s="20">
        <f t="shared" si="150"/>
        <v>0</v>
      </c>
      <c r="Q192" s="20">
        <f t="shared" si="151"/>
        <v>79812.903300000005</v>
      </c>
      <c r="R192" s="20">
        <f t="shared" si="156"/>
        <v>974178.71924294985</v>
      </c>
      <c r="S192" s="20">
        <f>措施后变化!F192*0.06</f>
        <v>486457.67194289988</v>
      </c>
      <c r="T192" s="20">
        <f t="shared" si="152"/>
        <v>972915.34388579975</v>
      </c>
    </row>
    <row r="193" spans="1:20" x14ac:dyDescent="0.15">
      <c r="A193" s="20">
        <v>2027</v>
      </c>
      <c r="B193" s="20">
        <v>0</v>
      </c>
      <c r="D193" s="20">
        <f t="shared" si="153"/>
        <v>1102024.04</v>
      </c>
      <c r="E193" s="20">
        <f t="shared" si="148"/>
        <v>1986507.4776857006</v>
      </c>
      <c r="F193" s="20">
        <v>6639158.1944700014</v>
      </c>
      <c r="G193" s="20">
        <v>0.12</v>
      </c>
      <c r="H193" s="20">
        <f t="shared" si="154"/>
        <v>3550626.6767843002</v>
      </c>
      <c r="I193" s="20">
        <f t="shared" si="157"/>
        <v>11740000.204458199</v>
      </c>
      <c r="J193" s="22"/>
      <c r="M193" s="20">
        <v>2027</v>
      </c>
      <c r="N193" s="20">
        <f t="shared" si="155"/>
        <v>863090.56528110022</v>
      </c>
      <c r="O193" s="20">
        <f t="shared" si="149"/>
        <v>0</v>
      </c>
      <c r="P193" s="20">
        <f t="shared" si="150"/>
        <v>0</v>
      </c>
      <c r="Q193" s="20">
        <f t="shared" si="151"/>
        <v>71631.562600000005</v>
      </c>
      <c r="R193" s="20">
        <f t="shared" si="156"/>
        <v>791459.00268110028</v>
      </c>
      <c r="S193" s="20">
        <f>措施后变化!F193*0.06</f>
        <v>398349.49166820006</v>
      </c>
      <c r="T193" s="20">
        <f t="shared" si="152"/>
        <v>796698.98333640012</v>
      </c>
    </row>
    <row r="194" spans="1:20" x14ac:dyDescent="0.15">
      <c r="A194" s="20">
        <v>2028</v>
      </c>
      <c r="B194" s="20">
        <v>0</v>
      </c>
      <c r="D194" s="20">
        <f t="shared" si="153"/>
        <v>915814.38</v>
      </c>
      <c r="E194" s="20">
        <f t="shared" si="148"/>
        <v>1367738.8932269998</v>
      </c>
      <c r="F194" s="20">
        <v>4604086.5416999999</v>
      </c>
      <c r="G194" s="20">
        <v>0.12</v>
      </c>
      <c r="H194" s="20">
        <f t="shared" si="154"/>
        <v>2320533.2684730003</v>
      </c>
      <c r="I194" s="20">
        <f t="shared" si="157"/>
        <v>14060533.472931199</v>
      </c>
      <c r="J194" s="22"/>
      <c r="M194" s="20">
        <v>2028</v>
      </c>
      <c r="N194" s="20">
        <f t="shared" si="155"/>
        <v>598531.25042100006</v>
      </c>
      <c r="O194" s="20">
        <f t="shared" si="149"/>
        <v>0</v>
      </c>
      <c r="P194" s="20">
        <f t="shared" si="150"/>
        <v>0</v>
      </c>
      <c r="Q194" s="20">
        <f t="shared" si="151"/>
        <v>59527.934700000005</v>
      </c>
      <c r="R194" s="20">
        <f t="shared" si="156"/>
        <v>539003.31572100008</v>
      </c>
      <c r="S194" s="20">
        <f>措施后变化!F194*0.06</f>
        <v>276245.19250199996</v>
      </c>
      <c r="T194" s="20">
        <f t="shared" si="152"/>
        <v>552490.38500399992</v>
      </c>
    </row>
    <row r="195" spans="1:20" x14ac:dyDescent="0.15">
      <c r="A195" s="20">
        <v>2029</v>
      </c>
      <c r="B195" s="20">
        <v>0</v>
      </c>
      <c r="D195" s="20">
        <f t="shared" si="153"/>
        <v>763471.99500000011</v>
      </c>
      <c r="E195" s="20">
        <f t="shared" si="148"/>
        <v>860390.136431925</v>
      </c>
      <c r="F195" s="20">
        <v>2935534.8906675</v>
      </c>
      <c r="G195" s="20">
        <v>0.12</v>
      </c>
      <c r="H195" s="20">
        <f t="shared" si="154"/>
        <v>1311672.7592355749</v>
      </c>
      <c r="I195" s="20">
        <f t="shared" si="157"/>
        <v>15372206.232166775</v>
      </c>
      <c r="J195" s="22"/>
      <c r="M195" s="20">
        <v>2029</v>
      </c>
      <c r="N195" s="20">
        <f t="shared" si="155"/>
        <v>381619.535786775</v>
      </c>
      <c r="O195" s="20">
        <f t="shared" si="149"/>
        <v>0</v>
      </c>
      <c r="P195" s="20">
        <f t="shared" si="150"/>
        <v>0</v>
      </c>
      <c r="Q195" s="20">
        <f t="shared" si="151"/>
        <v>49625.679675000007</v>
      </c>
      <c r="R195" s="20">
        <f t="shared" si="156"/>
        <v>331993.85611177498</v>
      </c>
      <c r="S195" s="20">
        <f>措施后变化!F195*0.06</f>
        <v>176132.09344005</v>
      </c>
      <c r="T195" s="20">
        <f t="shared" si="152"/>
        <v>352264.18688009999</v>
      </c>
    </row>
    <row r="196" spans="1:20" x14ac:dyDescent="0.15">
      <c r="A196" s="20">
        <v>2030</v>
      </c>
      <c r="B196" s="20">
        <v>0</v>
      </c>
      <c r="D196" s="20">
        <f t="shared" si="153"/>
        <v>716090.96</v>
      </c>
      <c r="E196" s="20">
        <f t="shared" si="148"/>
        <v>614919.87228559982</v>
      </c>
      <c r="F196" s="20">
        <v>2133760.5957599995</v>
      </c>
      <c r="G196" s="20">
        <v>0.12</v>
      </c>
      <c r="H196" s="20">
        <f t="shared" si="154"/>
        <v>802749.76347439969</v>
      </c>
      <c r="I196" s="20">
        <f t="shared" si="157"/>
        <v>16174955.995641174</v>
      </c>
      <c r="J196" s="22"/>
      <c r="M196" s="20">
        <v>2030</v>
      </c>
      <c r="N196" s="20">
        <f t="shared" si="155"/>
        <v>277388.87744879996</v>
      </c>
      <c r="O196" s="20">
        <f t="shared" si="149"/>
        <v>0</v>
      </c>
      <c r="P196" s="20">
        <f t="shared" si="150"/>
        <v>0</v>
      </c>
      <c r="Q196" s="20">
        <f t="shared" si="151"/>
        <v>46545.912400000001</v>
      </c>
      <c r="R196" s="20">
        <f t="shared" si="156"/>
        <v>230842.96504879996</v>
      </c>
      <c r="S196" s="20">
        <f>措施后变化!F196*0.06</f>
        <v>128025.63574559997</v>
      </c>
      <c r="T196" s="20">
        <f t="shared" si="152"/>
        <v>256051.27149119994</v>
      </c>
    </row>
    <row r="198" spans="1:20" x14ac:dyDescent="0.15">
      <c r="A198" s="20" t="s">
        <v>1</v>
      </c>
      <c r="B198" s="20" t="s">
        <v>96</v>
      </c>
      <c r="C198" s="20" t="s">
        <v>4</v>
      </c>
      <c r="D198" s="20" t="s">
        <v>6</v>
      </c>
      <c r="E198" s="20" t="s">
        <v>72</v>
      </c>
      <c r="F198" s="20" t="s">
        <v>97</v>
      </c>
      <c r="G198" s="20" t="s">
        <v>8</v>
      </c>
      <c r="H198" s="20" t="s">
        <v>98</v>
      </c>
      <c r="I198" s="20" t="s">
        <v>100</v>
      </c>
      <c r="J198" s="20" t="s">
        <v>101</v>
      </c>
      <c r="K198" s="20" t="s">
        <v>110</v>
      </c>
      <c r="N198" s="20" t="s">
        <v>74</v>
      </c>
      <c r="O198" s="20" t="s">
        <v>105</v>
      </c>
      <c r="P198" s="20" t="s">
        <v>107</v>
      </c>
      <c r="Q198" s="20" t="s">
        <v>108</v>
      </c>
      <c r="R198" s="20" t="s">
        <v>76</v>
      </c>
      <c r="S198" s="20" t="s">
        <v>78</v>
      </c>
      <c r="T198" s="20" t="s">
        <v>104</v>
      </c>
    </row>
    <row r="199" spans="1:20" x14ac:dyDescent="0.15">
      <c r="A199" s="20">
        <v>2021</v>
      </c>
      <c r="B199" s="20">
        <v>1820000</v>
      </c>
      <c r="C199" s="20">
        <v>1293400</v>
      </c>
      <c r="D199" s="20">
        <f>D151*1.4</f>
        <v>52146.360000000073</v>
      </c>
      <c r="E199" s="20">
        <f t="shared" ref="E199:E208" si="158">R199+S199+T199</f>
        <v>44636.413594500074</v>
      </c>
      <c r="F199" s="20">
        <v>247980.0755250004</v>
      </c>
      <c r="G199" s="20">
        <v>0.12</v>
      </c>
      <c r="H199" s="20">
        <f>F199-E199-D199-C199-B199</f>
        <v>-2962202.6980694998</v>
      </c>
      <c r="I199" s="20">
        <f>H199</f>
        <v>-2962202.6980694998</v>
      </c>
      <c r="J199" s="22">
        <f>IRR(H199:H208)</f>
        <v>0.42825325246427415</v>
      </c>
      <c r="K199" s="20" t="s">
        <v>126</v>
      </c>
      <c r="M199" s="20">
        <v>2021</v>
      </c>
      <c r="N199" s="20">
        <f>F199*0.13</f>
        <v>32237.409818250053</v>
      </c>
      <c r="O199" s="20">
        <f t="shared" ref="O199:O208" si="159">B199*0.13</f>
        <v>236600</v>
      </c>
      <c r="P199" s="20">
        <f t="shared" ref="P199:P208" si="160">C199*0.13*0.8</f>
        <v>134513.60000000001</v>
      </c>
      <c r="Q199" s="20">
        <f t="shared" ref="Q199:Q208" si="161">D199*0.13*0.5</f>
        <v>3389.5134000000048</v>
      </c>
      <c r="R199" s="20">
        <f>IF(N199-O199-P199-Q199&gt;0,N199-O199-P199-Q199,0)</f>
        <v>0</v>
      </c>
      <c r="S199" s="20">
        <f>措施后变化!F199*0.06</f>
        <v>14878.804531500024</v>
      </c>
      <c r="T199" s="20">
        <f t="shared" ref="T199:T208" si="162">F199*0.12</f>
        <v>29757.609063000047</v>
      </c>
    </row>
    <row r="200" spans="1:20" x14ac:dyDescent="0.15">
      <c r="A200" s="20">
        <v>2022</v>
      </c>
      <c r="B200" s="20">
        <v>0</v>
      </c>
      <c r="C200" s="20">
        <v>3723525</v>
      </c>
      <c r="D200" s="20">
        <f t="shared" ref="D200:D208" si="163">D152*1.4</f>
        <v>429024.12000000005</v>
      </c>
      <c r="E200" s="20">
        <f t="shared" si="158"/>
        <v>768554.75929829967</v>
      </c>
      <c r="F200" s="20">
        <v>3818348.1519299992</v>
      </c>
      <c r="G200" s="20">
        <v>0.12</v>
      </c>
      <c r="H200" s="20">
        <f t="shared" ref="H200:H208" si="164">F200-E200-D200-C200-B200</f>
        <v>-1102755.7273683008</v>
      </c>
      <c r="I200" s="20">
        <f>I199+H200</f>
        <v>-4064958.4254378006</v>
      </c>
      <c r="J200" s="22"/>
      <c r="M200" s="20">
        <v>2022</v>
      </c>
      <c r="N200" s="20">
        <f t="shared" ref="N200:N208" si="165">F200*0.13</f>
        <v>496385.25975089992</v>
      </c>
      <c r="O200" s="20">
        <f t="shared" si="159"/>
        <v>0</v>
      </c>
      <c r="P200" s="20">
        <f t="shared" si="160"/>
        <v>387246.60000000003</v>
      </c>
      <c r="Q200" s="20">
        <f t="shared" si="161"/>
        <v>27886.567800000004</v>
      </c>
      <c r="R200" s="20">
        <f t="shared" ref="R200:R208" si="166">IF(N200-O200-P200-Q200&gt;0,N200-O200-P200-Q200,0)</f>
        <v>81252.091950899878</v>
      </c>
      <c r="S200" s="20">
        <f>措施后变化!F200*0.06</f>
        <v>229100.88911579995</v>
      </c>
      <c r="T200" s="20">
        <f t="shared" si="162"/>
        <v>458201.77823159989</v>
      </c>
    </row>
    <row r="201" spans="1:20" x14ac:dyDescent="0.15">
      <c r="A201" s="20">
        <v>2023</v>
      </c>
      <c r="B201" s="20">
        <v>0</v>
      </c>
      <c r="C201" s="20">
        <v>2112101</v>
      </c>
      <c r="D201" s="20">
        <f t="shared" si="163"/>
        <v>596788.07999999984</v>
      </c>
      <c r="E201" s="20">
        <f t="shared" si="158"/>
        <v>1094113.6774291997</v>
      </c>
      <c r="F201" s="20">
        <v>4363107.763319999</v>
      </c>
      <c r="G201" s="20">
        <v>0.12</v>
      </c>
      <c r="H201" s="20">
        <f t="shared" si="164"/>
        <v>560105.00589079969</v>
      </c>
      <c r="I201" s="20">
        <f>I200+H201</f>
        <v>-3504853.4195470009</v>
      </c>
      <c r="J201" s="22"/>
      <c r="M201" s="20">
        <v>2023</v>
      </c>
      <c r="N201" s="20">
        <f t="shared" si="165"/>
        <v>567204.00923159986</v>
      </c>
      <c r="O201" s="20">
        <f t="shared" si="159"/>
        <v>0</v>
      </c>
      <c r="P201" s="20">
        <f t="shared" si="160"/>
        <v>219658.50400000002</v>
      </c>
      <c r="Q201" s="20">
        <f t="shared" si="161"/>
        <v>38791.225199999993</v>
      </c>
      <c r="R201" s="20">
        <f t="shared" si="166"/>
        <v>308754.28003159986</v>
      </c>
      <c r="S201" s="20">
        <f>措施后变化!F201*0.06</f>
        <v>261786.46579919994</v>
      </c>
      <c r="T201" s="20">
        <f t="shared" si="162"/>
        <v>523572.93159839988</v>
      </c>
    </row>
    <row r="202" spans="1:20" x14ac:dyDescent="0.15">
      <c r="A202" s="20">
        <v>2024</v>
      </c>
      <c r="B202" s="20">
        <v>0</v>
      </c>
      <c r="C202" s="20">
        <v>1875181</v>
      </c>
      <c r="D202" s="20">
        <f t="shared" si="163"/>
        <v>1010675.6799999998</v>
      </c>
      <c r="E202" s="20">
        <f t="shared" si="158"/>
        <v>2408543.9512724001</v>
      </c>
      <c r="F202" s="20">
        <v>8610505.4660400003</v>
      </c>
      <c r="G202" s="20">
        <v>0.12</v>
      </c>
      <c r="H202" s="20">
        <f t="shared" si="164"/>
        <v>3316104.8347676005</v>
      </c>
      <c r="I202" s="20">
        <f t="shared" ref="I202:I208" si="167">I201+H202</f>
        <v>-188748.58477940038</v>
      </c>
      <c r="J202" s="22"/>
      <c r="M202" s="20">
        <v>2024</v>
      </c>
      <c r="N202" s="20">
        <f t="shared" si="165"/>
        <v>1119365.7105852</v>
      </c>
      <c r="O202" s="20">
        <f t="shared" si="159"/>
        <v>0</v>
      </c>
      <c r="P202" s="20">
        <f t="shared" si="160"/>
        <v>195018.82400000002</v>
      </c>
      <c r="Q202" s="20">
        <f t="shared" si="161"/>
        <v>65693.919199999989</v>
      </c>
      <c r="R202" s="20">
        <f t="shared" si="166"/>
        <v>858652.96738519997</v>
      </c>
      <c r="S202" s="20">
        <f>措施后变化!F202*0.06</f>
        <v>516630.32796239998</v>
      </c>
      <c r="T202" s="20">
        <f t="shared" si="162"/>
        <v>1033260.6559248</v>
      </c>
    </row>
    <row r="203" spans="1:20" x14ac:dyDescent="0.15">
      <c r="A203" s="20">
        <v>2025</v>
      </c>
      <c r="B203" s="20">
        <v>0</v>
      </c>
      <c r="C203" s="20">
        <v>1106364</v>
      </c>
      <c r="D203" s="20">
        <f t="shared" si="163"/>
        <v>1301790.1400000001</v>
      </c>
      <c r="E203" s="20">
        <f t="shared" si="158"/>
        <v>2457218.8840950509</v>
      </c>
      <c r="F203" s="20">
        <v>8570635.8038550019</v>
      </c>
      <c r="G203" s="20">
        <v>0.12</v>
      </c>
      <c r="H203" s="20">
        <f t="shared" si="164"/>
        <v>3705262.7797599509</v>
      </c>
      <c r="I203" s="20">
        <f t="shared" si="167"/>
        <v>3516514.1949805506</v>
      </c>
      <c r="J203" s="22"/>
      <c r="M203" s="20">
        <v>2025</v>
      </c>
      <c r="N203" s="20">
        <f t="shared" si="165"/>
        <v>1114182.6545011504</v>
      </c>
      <c r="O203" s="20">
        <f t="shared" si="159"/>
        <v>0</v>
      </c>
      <c r="P203" s="20">
        <f t="shared" si="160"/>
        <v>115061.85600000001</v>
      </c>
      <c r="Q203" s="20">
        <f t="shared" si="161"/>
        <v>84616.359100000016</v>
      </c>
      <c r="R203" s="20">
        <f t="shared" si="166"/>
        <v>914504.43940115033</v>
      </c>
      <c r="S203" s="20">
        <f>措施后变化!F203*0.06</f>
        <v>514238.14823130012</v>
      </c>
      <c r="T203" s="20">
        <f t="shared" si="162"/>
        <v>1028476.2964626002</v>
      </c>
    </row>
    <row r="204" spans="1:20" x14ac:dyDescent="0.15">
      <c r="A204" s="20">
        <v>2026</v>
      </c>
      <c r="B204" s="20">
        <v>0</v>
      </c>
      <c r="D204" s="20">
        <f t="shared" si="163"/>
        <v>1322343.96</v>
      </c>
      <c r="E204" s="20">
        <f t="shared" si="158"/>
        <v>2427412.2809716496</v>
      </c>
      <c r="F204" s="20">
        <v>8107627.865714998</v>
      </c>
      <c r="G204" s="20">
        <v>0.12</v>
      </c>
      <c r="H204" s="20">
        <f t="shared" si="164"/>
        <v>4357871.6247433489</v>
      </c>
      <c r="I204" s="20">
        <f t="shared" si="167"/>
        <v>7874385.8197238995</v>
      </c>
      <c r="J204" s="22"/>
      <c r="M204" s="20">
        <v>2026</v>
      </c>
      <c r="N204" s="20">
        <f t="shared" si="165"/>
        <v>1053991.6225429499</v>
      </c>
      <c r="O204" s="20">
        <f t="shared" si="159"/>
        <v>0</v>
      </c>
      <c r="P204" s="20">
        <f t="shared" si="160"/>
        <v>0</v>
      </c>
      <c r="Q204" s="20">
        <f t="shared" si="161"/>
        <v>85952.357399999994</v>
      </c>
      <c r="R204" s="20">
        <f t="shared" si="166"/>
        <v>968039.26514294988</v>
      </c>
      <c r="S204" s="20">
        <f>措施后变化!F204*0.06</f>
        <v>486457.67194289988</v>
      </c>
      <c r="T204" s="20">
        <f t="shared" si="162"/>
        <v>972915.34388579975</v>
      </c>
    </row>
    <row r="205" spans="1:20" x14ac:dyDescent="0.15">
      <c r="A205" s="20">
        <v>2027</v>
      </c>
      <c r="B205" s="20">
        <v>0</v>
      </c>
      <c r="D205" s="20">
        <f t="shared" si="163"/>
        <v>1186795.1199999999</v>
      </c>
      <c r="E205" s="20">
        <f t="shared" si="158"/>
        <v>1980997.3574857004</v>
      </c>
      <c r="F205" s="20">
        <v>6639158.1944700014</v>
      </c>
      <c r="G205" s="20">
        <v>0.12</v>
      </c>
      <c r="H205" s="20">
        <f t="shared" si="164"/>
        <v>3471365.7169843009</v>
      </c>
      <c r="I205" s="20">
        <f t="shared" si="167"/>
        <v>11345751.5367082</v>
      </c>
      <c r="J205" s="22"/>
      <c r="M205" s="20">
        <v>2027</v>
      </c>
      <c r="N205" s="20">
        <f t="shared" si="165"/>
        <v>863090.56528110022</v>
      </c>
      <c r="O205" s="20">
        <f t="shared" si="159"/>
        <v>0</v>
      </c>
      <c r="P205" s="20">
        <f t="shared" si="160"/>
        <v>0</v>
      </c>
      <c r="Q205" s="20">
        <f t="shared" si="161"/>
        <v>77141.682799999995</v>
      </c>
      <c r="R205" s="20">
        <f t="shared" si="166"/>
        <v>785948.88248110027</v>
      </c>
      <c r="S205" s="20">
        <f>措施后变化!F205*0.06</f>
        <v>398349.49166820006</v>
      </c>
      <c r="T205" s="20">
        <f t="shared" si="162"/>
        <v>796698.98333640012</v>
      </c>
    </row>
    <row r="206" spans="1:20" x14ac:dyDescent="0.15">
      <c r="A206" s="20">
        <v>2028</v>
      </c>
      <c r="B206" s="20">
        <v>0</v>
      </c>
      <c r="D206" s="20">
        <f t="shared" si="163"/>
        <v>986261.6399999999</v>
      </c>
      <c r="E206" s="20">
        <f t="shared" si="158"/>
        <v>1363159.8213269999</v>
      </c>
      <c r="F206" s="20">
        <v>4604086.5416999999</v>
      </c>
      <c r="G206" s="20">
        <v>0.12</v>
      </c>
      <c r="H206" s="20">
        <f t="shared" si="164"/>
        <v>2254665.0803730004</v>
      </c>
      <c r="I206" s="20">
        <f t="shared" si="167"/>
        <v>13600416.617081201</v>
      </c>
      <c r="J206" s="22"/>
      <c r="M206" s="20">
        <v>2028</v>
      </c>
      <c r="N206" s="20">
        <f t="shared" si="165"/>
        <v>598531.25042100006</v>
      </c>
      <c r="O206" s="20">
        <f t="shared" si="159"/>
        <v>0</v>
      </c>
      <c r="P206" s="20">
        <f t="shared" si="160"/>
        <v>0</v>
      </c>
      <c r="Q206" s="20">
        <f t="shared" si="161"/>
        <v>64107.006599999993</v>
      </c>
      <c r="R206" s="20">
        <f t="shared" si="166"/>
        <v>534424.2438210001</v>
      </c>
      <c r="S206" s="20">
        <f>措施后变化!F206*0.06</f>
        <v>276245.19250199996</v>
      </c>
      <c r="T206" s="20">
        <f t="shared" si="162"/>
        <v>552490.38500399992</v>
      </c>
    </row>
    <row r="207" spans="1:20" x14ac:dyDescent="0.15">
      <c r="A207" s="20">
        <v>2029</v>
      </c>
      <c r="B207" s="20">
        <v>0</v>
      </c>
      <c r="D207" s="20">
        <f t="shared" si="163"/>
        <v>822200.61</v>
      </c>
      <c r="E207" s="20">
        <f t="shared" si="158"/>
        <v>856572.77645692509</v>
      </c>
      <c r="F207" s="20">
        <v>2935534.8906675</v>
      </c>
      <c r="G207" s="20">
        <v>0.12</v>
      </c>
      <c r="H207" s="20">
        <f t="shared" si="164"/>
        <v>1256761.504210575</v>
      </c>
      <c r="I207" s="20">
        <f t="shared" si="167"/>
        <v>14857178.121291775</v>
      </c>
      <c r="J207" s="22"/>
      <c r="M207" s="20">
        <v>2029</v>
      </c>
      <c r="N207" s="20">
        <f t="shared" si="165"/>
        <v>381619.535786775</v>
      </c>
      <c r="O207" s="20">
        <f t="shared" si="159"/>
        <v>0</v>
      </c>
      <c r="P207" s="20">
        <f t="shared" si="160"/>
        <v>0</v>
      </c>
      <c r="Q207" s="20">
        <f t="shared" si="161"/>
        <v>53443.039649999999</v>
      </c>
      <c r="R207" s="20">
        <f t="shared" si="166"/>
        <v>328176.49613677501</v>
      </c>
      <c r="S207" s="20">
        <f>措施后变化!F207*0.06</f>
        <v>176132.09344005</v>
      </c>
      <c r="T207" s="20">
        <f t="shared" si="162"/>
        <v>352264.18688009999</v>
      </c>
    </row>
    <row r="208" spans="1:20" x14ac:dyDescent="0.15">
      <c r="A208" s="20">
        <v>2030</v>
      </c>
      <c r="B208" s="20">
        <v>0</v>
      </c>
      <c r="D208" s="20">
        <f t="shared" si="163"/>
        <v>771174.87999999989</v>
      </c>
      <c r="E208" s="20">
        <f t="shared" si="158"/>
        <v>611339.41748559987</v>
      </c>
      <c r="F208" s="20">
        <v>2133760.5957599995</v>
      </c>
      <c r="G208" s="20">
        <v>0.12</v>
      </c>
      <c r="H208" s="20">
        <f t="shared" si="164"/>
        <v>751246.29827439971</v>
      </c>
      <c r="I208" s="20">
        <f t="shared" si="167"/>
        <v>15608424.419566175</v>
      </c>
      <c r="J208" s="22"/>
      <c r="M208" s="20">
        <v>2030</v>
      </c>
      <c r="N208" s="20">
        <f t="shared" si="165"/>
        <v>277388.87744879996</v>
      </c>
      <c r="O208" s="20">
        <f t="shared" si="159"/>
        <v>0</v>
      </c>
      <c r="P208" s="20">
        <f t="shared" si="160"/>
        <v>0</v>
      </c>
      <c r="Q208" s="20">
        <f t="shared" si="161"/>
        <v>50126.367199999993</v>
      </c>
      <c r="R208" s="20">
        <f t="shared" si="166"/>
        <v>227262.51024879998</v>
      </c>
      <c r="S208" s="20">
        <f>措施后变化!F208*0.06</f>
        <v>128025.63574559997</v>
      </c>
      <c r="T208" s="20">
        <f t="shared" si="162"/>
        <v>256051.27149119994</v>
      </c>
    </row>
    <row r="210" spans="1:20" x14ac:dyDescent="0.15">
      <c r="A210" s="20" t="s">
        <v>1</v>
      </c>
      <c r="B210" s="20" t="s">
        <v>96</v>
      </c>
      <c r="C210" s="20" t="s">
        <v>4</v>
      </c>
      <c r="D210" s="20" t="s">
        <v>6</v>
      </c>
      <c r="E210" s="20" t="s">
        <v>72</v>
      </c>
      <c r="F210" s="20" t="s">
        <v>97</v>
      </c>
      <c r="G210" s="20" t="s">
        <v>8</v>
      </c>
      <c r="H210" s="20" t="s">
        <v>98</v>
      </c>
      <c r="I210" s="20" t="s">
        <v>100</v>
      </c>
      <c r="J210" s="20" t="s">
        <v>101</v>
      </c>
      <c r="K210" s="20" t="s">
        <v>110</v>
      </c>
      <c r="N210" s="20" t="s">
        <v>74</v>
      </c>
      <c r="O210" s="20" t="s">
        <v>105</v>
      </c>
      <c r="P210" s="20" t="s">
        <v>107</v>
      </c>
      <c r="Q210" s="20" t="s">
        <v>108</v>
      </c>
      <c r="R210" s="20" t="s">
        <v>76</v>
      </c>
      <c r="S210" s="20" t="s">
        <v>78</v>
      </c>
      <c r="T210" s="20" t="s">
        <v>104</v>
      </c>
    </row>
    <row r="211" spans="1:20" x14ac:dyDescent="0.15">
      <c r="A211" s="20">
        <v>2021</v>
      </c>
      <c r="B211" s="20">
        <v>1820000</v>
      </c>
      <c r="C211" s="20">
        <v>1293400</v>
      </c>
      <c r="D211" s="20">
        <f>D151*1.5</f>
        <v>55871.100000000079</v>
      </c>
      <c r="E211" s="20">
        <f t="shared" ref="E211:E220" si="168">R211+S211+T211</f>
        <v>44636.413594500074</v>
      </c>
      <c r="F211" s="20">
        <v>247980.0755250004</v>
      </c>
      <c r="G211" s="20">
        <v>0.12</v>
      </c>
      <c r="H211" s="20">
        <f>F211-E211-D211-C211-B211</f>
        <v>-2965927.4380695</v>
      </c>
      <c r="I211" s="20">
        <f>H211</f>
        <v>-2965927.4380695</v>
      </c>
      <c r="J211" s="22">
        <f>IRR(H211:H220)</f>
        <v>0.41658446322441645</v>
      </c>
      <c r="K211" s="20" t="s">
        <v>127</v>
      </c>
      <c r="M211" s="20">
        <v>2021</v>
      </c>
      <c r="N211" s="20">
        <f>F211*0.13</f>
        <v>32237.409818250053</v>
      </c>
      <c r="O211" s="20">
        <f t="shared" ref="O211:O220" si="169">B211*0.13</f>
        <v>236600</v>
      </c>
      <c r="P211" s="20">
        <f t="shared" ref="P211:P220" si="170">C211*0.13*0.8</f>
        <v>134513.60000000001</v>
      </c>
      <c r="Q211" s="20">
        <f t="shared" ref="Q211:Q220" si="171">D211*0.13*0.5</f>
        <v>3631.6215000000052</v>
      </c>
      <c r="R211" s="20">
        <f>IF(N211-O211-P211-Q211&gt;0,N211-O211-P211-Q211,0)</f>
        <v>0</v>
      </c>
      <c r="S211" s="20">
        <f>措施后变化!F211*0.06</f>
        <v>14878.804531500024</v>
      </c>
      <c r="T211" s="20">
        <f t="shared" ref="T211:T220" si="172">F211*0.12</f>
        <v>29757.609063000047</v>
      </c>
    </row>
    <row r="212" spans="1:20" x14ac:dyDescent="0.15">
      <c r="A212" s="20">
        <v>2022</v>
      </c>
      <c r="B212" s="20">
        <v>0</v>
      </c>
      <c r="C212" s="20">
        <v>3723525</v>
      </c>
      <c r="D212" s="20">
        <f t="shared" ref="D212:D220" si="173">D152*1.5</f>
        <v>459668.70000000007</v>
      </c>
      <c r="E212" s="20">
        <f t="shared" si="168"/>
        <v>766562.8615982997</v>
      </c>
      <c r="F212" s="20">
        <v>3818348.1519299992</v>
      </c>
      <c r="G212" s="20">
        <v>0.12</v>
      </c>
      <c r="H212" s="20">
        <f t="shared" ref="H212:H220" si="174">F212-E212-D212-C212-B212</f>
        <v>-1131408.4096683008</v>
      </c>
      <c r="I212" s="20">
        <f>I211+H212</f>
        <v>-4097335.8477378008</v>
      </c>
      <c r="J212" s="22"/>
      <c r="M212" s="20">
        <v>2022</v>
      </c>
      <c r="N212" s="20">
        <f t="shared" ref="N212:N220" si="175">F212*0.13</f>
        <v>496385.25975089992</v>
      </c>
      <c r="O212" s="20">
        <f t="shared" si="169"/>
        <v>0</v>
      </c>
      <c r="P212" s="20">
        <f t="shared" si="170"/>
        <v>387246.60000000003</v>
      </c>
      <c r="Q212" s="20">
        <f t="shared" si="171"/>
        <v>29878.465500000006</v>
      </c>
      <c r="R212" s="20">
        <f t="shared" ref="R212:R220" si="176">IF(N212-O212-P212-Q212&gt;0,N212-O212-P212-Q212,0)</f>
        <v>79260.194250899876</v>
      </c>
      <c r="S212" s="20">
        <f>措施后变化!F212*0.06</f>
        <v>229100.88911579995</v>
      </c>
      <c r="T212" s="20">
        <f t="shared" si="172"/>
        <v>458201.77823159989</v>
      </c>
    </row>
    <row r="213" spans="1:20" x14ac:dyDescent="0.15">
      <c r="A213" s="20">
        <v>2023</v>
      </c>
      <c r="B213" s="20">
        <v>0</v>
      </c>
      <c r="C213" s="20">
        <v>2112101</v>
      </c>
      <c r="D213" s="20">
        <f t="shared" si="173"/>
        <v>639415.79999999993</v>
      </c>
      <c r="E213" s="20">
        <f t="shared" si="168"/>
        <v>1091342.8756291997</v>
      </c>
      <c r="F213" s="20">
        <v>4363107.763319999</v>
      </c>
      <c r="G213" s="20">
        <v>0.12</v>
      </c>
      <c r="H213" s="20">
        <f t="shared" si="174"/>
        <v>520248.0876907995</v>
      </c>
      <c r="I213" s="20">
        <f>I212+H213</f>
        <v>-3577087.7600470013</v>
      </c>
      <c r="J213" s="22"/>
      <c r="M213" s="20">
        <v>2023</v>
      </c>
      <c r="N213" s="20">
        <f t="shared" si="175"/>
        <v>567204.00923159986</v>
      </c>
      <c r="O213" s="20">
        <f t="shared" si="169"/>
        <v>0</v>
      </c>
      <c r="P213" s="20">
        <f t="shared" si="170"/>
        <v>219658.50400000002</v>
      </c>
      <c r="Q213" s="20">
        <f t="shared" si="171"/>
        <v>41562.026999999995</v>
      </c>
      <c r="R213" s="20">
        <f t="shared" si="176"/>
        <v>305983.47823159985</v>
      </c>
      <c r="S213" s="20">
        <f>措施后变化!F213*0.06</f>
        <v>261786.46579919994</v>
      </c>
      <c r="T213" s="20">
        <f t="shared" si="172"/>
        <v>523572.93159839988</v>
      </c>
    </row>
    <row r="214" spans="1:20" x14ac:dyDescent="0.15">
      <c r="A214" s="20">
        <v>2024</v>
      </c>
      <c r="B214" s="20">
        <v>0</v>
      </c>
      <c r="C214" s="20">
        <v>1875181</v>
      </c>
      <c r="D214" s="20">
        <f t="shared" si="173"/>
        <v>1082866.7999999998</v>
      </c>
      <c r="E214" s="20">
        <f t="shared" si="168"/>
        <v>2403851.5284723998</v>
      </c>
      <c r="F214" s="20">
        <v>8610505.4660400003</v>
      </c>
      <c r="G214" s="20">
        <v>0.12</v>
      </c>
      <c r="H214" s="20">
        <f t="shared" si="174"/>
        <v>3248606.1375676012</v>
      </c>
      <c r="I214" s="20">
        <f t="shared" ref="I214:I220" si="177">I213+H214</f>
        <v>-328481.62247940013</v>
      </c>
      <c r="J214" s="22"/>
      <c r="M214" s="20">
        <v>2024</v>
      </c>
      <c r="N214" s="20">
        <f t="shared" si="175"/>
        <v>1119365.7105852</v>
      </c>
      <c r="O214" s="20">
        <f t="shared" si="169"/>
        <v>0</v>
      </c>
      <c r="P214" s="20">
        <f t="shared" si="170"/>
        <v>195018.82400000002</v>
      </c>
      <c r="Q214" s="20">
        <f t="shared" si="171"/>
        <v>70386.34199999999</v>
      </c>
      <c r="R214" s="20">
        <f t="shared" si="176"/>
        <v>853960.54458520003</v>
      </c>
      <c r="S214" s="20">
        <f>措施后变化!F214*0.06</f>
        <v>516630.32796239998</v>
      </c>
      <c r="T214" s="20">
        <f t="shared" si="172"/>
        <v>1033260.6559248</v>
      </c>
    </row>
    <row r="215" spans="1:20" x14ac:dyDescent="0.15">
      <c r="A215" s="20">
        <v>2025</v>
      </c>
      <c r="B215" s="20">
        <v>0</v>
      </c>
      <c r="C215" s="20">
        <v>1106364</v>
      </c>
      <c r="D215" s="20">
        <f t="shared" si="173"/>
        <v>1394775.1500000001</v>
      </c>
      <c r="E215" s="20">
        <f t="shared" si="168"/>
        <v>2451174.8584450507</v>
      </c>
      <c r="F215" s="20">
        <v>8570635.8038550019</v>
      </c>
      <c r="G215" s="20">
        <v>0.12</v>
      </c>
      <c r="H215" s="20">
        <f t="shared" si="174"/>
        <v>3618321.7954099514</v>
      </c>
      <c r="I215" s="20">
        <f t="shared" si="177"/>
        <v>3289840.1729305512</v>
      </c>
      <c r="J215" s="22"/>
      <c r="M215" s="20">
        <v>2025</v>
      </c>
      <c r="N215" s="20">
        <f t="shared" si="175"/>
        <v>1114182.6545011504</v>
      </c>
      <c r="O215" s="20">
        <f t="shared" si="169"/>
        <v>0</v>
      </c>
      <c r="P215" s="20">
        <f t="shared" si="170"/>
        <v>115061.85600000001</v>
      </c>
      <c r="Q215" s="20">
        <f t="shared" si="171"/>
        <v>90660.384750000012</v>
      </c>
      <c r="R215" s="20">
        <f t="shared" si="176"/>
        <v>908460.41375115036</v>
      </c>
      <c r="S215" s="20">
        <f>措施后变化!F215*0.06</f>
        <v>514238.14823130012</v>
      </c>
      <c r="T215" s="20">
        <f t="shared" si="172"/>
        <v>1028476.2964626002</v>
      </c>
    </row>
    <row r="216" spans="1:20" x14ac:dyDescent="0.15">
      <c r="A216" s="20">
        <v>2026</v>
      </c>
      <c r="B216" s="20">
        <v>0</v>
      </c>
      <c r="D216" s="20">
        <f t="shared" si="173"/>
        <v>1416797.1</v>
      </c>
      <c r="E216" s="20">
        <f t="shared" si="168"/>
        <v>2421272.8268716494</v>
      </c>
      <c r="F216" s="20">
        <v>8107627.865714998</v>
      </c>
      <c r="G216" s="20">
        <v>0.12</v>
      </c>
      <c r="H216" s="20">
        <f t="shared" si="174"/>
        <v>4269557.938843349</v>
      </c>
      <c r="I216" s="20">
        <f t="shared" si="177"/>
        <v>7559398.1117739007</v>
      </c>
      <c r="J216" s="22"/>
      <c r="M216" s="20">
        <v>2026</v>
      </c>
      <c r="N216" s="20">
        <f t="shared" si="175"/>
        <v>1053991.6225429499</v>
      </c>
      <c r="O216" s="20">
        <f t="shared" si="169"/>
        <v>0</v>
      </c>
      <c r="P216" s="20">
        <f t="shared" si="170"/>
        <v>0</v>
      </c>
      <c r="Q216" s="20">
        <f t="shared" si="171"/>
        <v>92091.811500000011</v>
      </c>
      <c r="R216" s="20">
        <f t="shared" si="176"/>
        <v>961899.81104294979</v>
      </c>
      <c r="S216" s="20">
        <f>措施后变化!F216*0.06</f>
        <v>486457.67194289988</v>
      </c>
      <c r="T216" s="20">
        <f t="shared" si="172"/>
        <v>972915.34388579975</v>
      </c>
    </row>
    <row r="217" spans="1:20" x14ac:dyDescent="0.15">
      <c r="A217" s="20">
        <v>2027</v>
      </c>
      <c r="B217" s="20">
        <v>0</v>
      </c>
      <c r="D217" s="20">
        <f t="shared" si="173"/>
        <v>1271566.2000000002</v>
      </c>
      <c r="E217" s="20">
        <f t="shared" si="168"/>
        <v>1975487.2372857006</v>
      </c>
      <c r="F217" s="20">
        <v>6639158.1944700014</v>
      </c>
      <c r="G217" s="20">
        <v>0.12</v>
      </c>
      <c r="H217" s="20">
        <f t="shared" si="174"/>
        <v>3392104.7571843006</v>
      </c>
      <c r="I217" s="20">
        <f t="shared" si="177"/>
        <v>10951502.868958201</v>
      </c>
      <c r="J217" s="22"/>
      <c r="M217" s="20">
        <v>2027</v>
      </c>
      <c r="N217" s="20">
        <f t="shared" si="175"/>
        <v>863090.56528110022</v>
      </c>
      <c r="O217" s="20">
        <f t="shared" si="169"/>
        <v>0</v>
      </c>
      <c r="P217" s="20">
        <f t="shared" si="170"/>
        <v>0</v>
      </c>
      <c r="Q217" s="20">
        <f t="shared" si="171"/>
        <v>82651.803000000014</v>
      </c>
      <c r="R217" s="20">
        <f t="shared" si="176"/>
        <v>780438.76228110027</v>
      </c>
      <c r="S217" s="20">
        <f>措施后变化!F217*0.06</f>
        <v>398349.49166820006</v>
      </c>
      <c r="T217" s="20">
        <f t="shared" si="172"/>
        <v>796698.98333640012</v>
      </c>
    </row>
    <row r="218" spans="1:20" x14ac:dyDescent="0.15">
      <c r="A218" s="20">
        <v>2028</v>
      </c>
      <c r="B218" s="20">
        <v>0</v>
      </c>
      <c r="D218" s="20">
        <f t="shared" si="173"/>
        <v>1056708.8999999999</v>
      </c>
      <c r="E218" s="20">
        <f t="shared" si="168"/>
        <v>1358580.7494270001</v>
      </c>
      <c r="F218" s="20">
        <v>4604086.5416999999</v>
      </c>
      <c r="G218" s="20">
        <v>0.12</v>
      </c>
      <c r="H218" s="20">
        <f t="shared" si="174"/>
        <v>2188796.892273</v>
      </c>
      <c r="I218" s="20">
        <f t="shared" si="177"/>
        <v>13140299.761231201</v>
      </c>
      <c r="J218" s="22"/>
      <c r="M218" s="20">
        <v>2028</v>
      </c>
      <c r="N218" s="20">
        <f t="shared" si="175"/>
        <v>598531.25042100006</v>
      </c>
      <c r="O218" s="20">
        <f t="shared" si="169"/>
        <v>0</v>
      </c>
      <c r="P218" s="20">
        <f t="shared" si="170"/>
        <v>0</v>
      </c>
      <c r="Q218" s="20">
        <f t="shared" si="171"/>
        <v>68686.078500000003</v>
      </c>
      <c r="R218" s="20">
        <f t="shared" si="176"/>
        <v>529845.17192100012</v>
      </c>
      <c r="S218" s="20">
        <f>措施后变化!F218*0.06</f>
        <v>276245.19250199996</v>
      </c>
      <c r="T218" s="20">
        <f t="shared" si="172"/>
        <v>552490.38500399992</v>
      </c>
    </row>
    <row r="219" spans="1:20" x14ac:dyDescent="0.15">
      <c r="A219" s="20">
        <v>2029</v>
      </c>
      <c r="B219" s="20">
        <v>0</v>
      </c>
      <c r="D219" s="20">
        <f t="shared" si="173"/>
        <v>880929.22500000009</v>
      </c>
      <c r="E219" s="20">
        <f t="shared" si="168"/>
        <v>852755.41648192494</v>
      </c>
      <c r="F219" s="20">
        <v>2935534.8906675</v>
      </c>
      <c r="G219" s="20">
        <v>0.12</v>
      </c>
      <c r="H219" s="20">
        <f t="shared" si="174"/>
        <v>1201850.2491855749</v>
      </c>
      <c r="I219" s="20">
        <f t="shared" si="177"/>
        <v>14342150.010416776</v>
      </c>
      <c r="J219" s="22"/>
      <c r="M219" s="20">
        <v>2029</v>
      </c>
      <c r="N219" s="20">
        <f t="shared" si="175"/>
        <v>381619.535786775</v>
      </c>
      <c r="O219" s="20">
        <f t="shared" si="169"/>
        <v>0</v>
      </c>
      <c r="P219" s="20">
        <f t="shared" si="170"/>
        <v>0</v>
      </c>
      <c r="Q219" s="20">
        <f t="shared" si="171"/>
        <v>57260.399625000005</v>
      </c>
      <c r="R219" s="20">
        <f t="shared" si="176"/>
        <v>324359.13616177498</v>
      </c>
      <c r="S219" s="20">
        <f>措施后变化!F219*0.06</f>
        <v>176132.09344005</v>
      </c>
      <c r="T219" s="20">
        <f t="shared" si="172"/>
        <v>352264.18688009999</v>
      </c>
    </row>
    <row r="220" spans="1:20" x14ac:dyDescent="0.15">
      <c r="A220" s="20">
        <v>2030</v>
      </c>
      <c r="B220" s="20">
        <v>0</v>
      </c>
      <c r="D220" s="20">
        <f t="shared" si="173"/>
        <v>826258.79999999993</v>
      </c>
      <c r="E220" s="20">
        <f t="shared" si="168"/>
        <v>607758.96268559992</v>
      </c>
      <c r="F220" s="20">
        <v>2133760.5957599995</v>
      </c>
      <c r="G220" s="20">
        <v>0.12</v>
      </c>
      <c r="H220" s="20">
        <f t="shared" si="174"/>
        <v>699742.83307439962</v>
      </c>
      <c r="I220" s="20">
        <f t="shared" si="177"/>
        <v>15041892.843491176</v>
      </c>
      <c r="J220" s="22"/>
      <c r="M220" s="20">
        <v>2030</v>
      </c>
      <c r="N220" s="20">
        <f t="shared" si="175"/>
        <v>277388.87744879996</v>
      </c>
      <c r="O220" s="20">
        <f t="shared" si="169"/>
        <v>0</v>
      </c>
      <c r="P220" s="20">
        <f t="shared" si="170"/>
        <v>0</v>
      </c>
      <c r="Q220" s="20">
        <f t="shared" si="171"/>
        <v>53706.822</v>
      </c>
      <c r="R220" s="20">
        <f t="shared" si="176"/>
        <v>223682.05544879998</v>
      </c>
      <c r="S220" s="20">
        <f>措施后变化!F220*0.06</f>
        <v>128025.63574559997</v>
      </c>
      <c r="T220" s="20">
        <f t="shared" si="172"/>
        <v>256051.27149119994</v>
      </c>
    </row>
  </sheetData>
  <mergeCells count="18">
    <mergeCell ref="J187:J196"/>
    <mergeCell ref="J199:J208"/>
    <mergeCell ref="J211:J220"/>
    <mergeCell ref="J163:J172"/>
    <mergeCell ref="J175:J184"/>
    <mergeCell ref="J90:J99"/>
    <mergeCell ref="J102:J111"/>
    <mergeCell ref="J114:J123"/>
    <mergeCell ref="J126:J135"/>
    <mergeCell ref="J138:J147"/>
    <mergeCell ref="J51:J60"/>
    <mergeCell ref="J63:J72"/>
    <mergeCell ref="J78:J87"/>
    <mergeCell ref="J2:J11"/>
    <mergeCell ref="J151:J160"/>
    <mergeCell ref="J15:J24"/>
    <mergeCell ref="J27:J36"/>
    <mergeCell ref="J39:J4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"/>
  <sheetViews>
    <sheetView tabSelected="1" topLeftCell="I1" zoomScale="145" zoomScaleNormal="145" workbookViewId="0">
      <selection activeCell="S4" sqref="S4"/>
    </sheetView>
  </sheetViews>
  <sheetFormatPr defaultRowHeight="12" x14ac:dyDescent="0.15"/>
  <cols>
    <col min="1" max="1" width="9.125" style="2" bestFit="1" customWidth="1"/>
    <col min="2" max="3" width="11.5" style="2" bestFit="1" customWidth="1"/>
    <col min="4" max="4" width="14.5" style="2" customWidth="1"/>
    <col min="5" max="5" width="9.75" style="2" customWidth="1"/>
    <col min="6" max="6" width="9.125" style="2" bestFit="1" customWidth="1"/>
    <col min="7" max="7" width="13.375" style="2" customWidth="1"/>
    <col min="8" max="9" width="11.5" style="2" bestFit="1" customWidth="1"/>
    <col min="10" max="10" width="9" style="2"/>
    <col min="11" max="19" width="9.125" style="2" bestFit="1" customWidth="1"/>
    <col min="20" max="22" width="9" style="2"/>
    <col min="23" max="23" width="14.625" style="2" customWidth="1"/>
    <col min="24" max="16384" width="9" style="2"/>
  </cols>
  <sheetData>
    <row r="1" spans="1:24" ht="79.5" customHeight="1" x14ac:dyDescent="0.15">
      <c r="A1" s="23" t="s">
        <v>9</v>
      </c>
      <c r="B1" s="23"/>
      <c r="C1" s="23"/>
      <c r="D1" s="6"/>
      <c r="E1" s="7"/>
      <c r="F1" s="23" t="s">
        <v>16</v>
      </c>
      <c r="G1" s="23"/>
      <c r="H1" s="23"/>
      <c r="I1" s="6"/>
      <c r="K1" s="29" t="s">
        <v>18</v>
      </c>
      <c r="L1" s="30"/>
      <c r="M1" s="31"/>
      <c r="N1" s="3"/>
      <c r="O1" s="3"/>
      <c r="P1" s="3"/>
      <c r="Q1" s="3"/>
      <c r="R1" s="3"/>
      <c r="S1" s="3"/>
      <c r="U1" s="29" t="s">
        <v>28</v>
      </c>
      <c r="V1" s="31"/>
      <c r="W1" s="3"/>
    </row>
    <row r="2" spans="1:24" x14ac:dyDescent="0.15">
      <c r="A2" s="24" t="s">
        <v>0</v>
      </c>
      <c r="B2" s="26" t="s">
        <v>10</v>
      </c>
      <c r="C2" s="27"/>
      <c r="D2" s="28"/>
      <c r="E2" s="7"/>
      <c r="F2" s="24" t="s">
        <v>0</v>
      </c>
      <c r="G2" s="26" t="s">
        <v>17</v>
      </c>
      <c r="H2" s="27"/>
      <c r="I2" s="28"/>
      <c r="K2" s="32" t="s">
        <v>0</v>
      </c>
      <c r="L2" s="34" t="s">
        <v>19</v>
      </c>
      <c r="M2" s="35"/>
      <c r="N2" s="35"/>
      <c r="O2" s="35"/>
      <c r="P2" s="35"/>
      <c r="Q2" s="35"/>
      <c r="R2" s="35"/>
      <c r="S2" s="36"/>
      <c r="U2" s="4" t="s">
        <v>29</v>
      </c>
      <c r="V2" s="4" t="s">
        <v>30</v>
      </c>
      <c r="W2" s="4" t="s">
        <v>31</v>
      </c>
    </row>
    <row r="3" spans="1:24" ht="24" x14ac:dyDescent="0.15">
      <c r="A3" s="25"/>
      <c r="B3" s="8" t="s">
        <v>11</v>
      </c>
      <c r="C3" s="8" t="s">
        <v>12</v>
      </c>
      <c r="D3" s="8" t="s">
        <v>13</v>
      </c>
      <c r="E3" s="7"/>
      <c r="F3" s="25"/>
      <c r="G3" s="8" t="s">
        <v>11</v>
      </c>
      <c r="H3" s="8" t="s">
        <v>12</v>
      </c>
      <c r="I3" s="8" t="s">
        <v>13</v>
      </c>
      <c r="K3" s="33"/>
      <c r="L3" s="4" t="s">
        <v>20</v>
      </c>
      <c r="M3" s="4" t="s">
        <v>21</v>
      </c>
      <c r="N3" s="4" t="s">
        <v>22</v>
      </c>
      <c r="O3" s="4" t="s">
        <v>23</v>
      </c>
      <c r="P3" s="4" t="s">
        <v>24</v>
      </c>
      <c r="Q3" s="4" t="s">
        <v>25</v>
      </c>
      <c r="R3" s="4" t="s">
        <v>26</v>
      </c>
      <c r="S3" s="4" t="s">
        <v>27</v>
      </c>
      <c r="U3" s="4" t="s">
        <v>32</v>
      </c>
      <c r="V3" s="4" t="s">
        <v>33</v>
      </c>
      <c r="W3" s="4">
        <v>524854</v>
      </c>
    </row>
    <row r="4" spans="1:24" x14ac:dyDescent="0.15">
      <c r="A4" s="8" t="s">
        <v>14</v>
      </c>
      <c r="B4" s="8">
        <v>7808.2</v>
      </c>
      <c r="C4" s="8">
        <v>47626.5</v>
      </c>
      <c r="D4" s="8">
        <v>37766.699999999997</v>
      </c>
      <c r="E4" s="7"/>
      <c r="F4" s="8">
        <v>1</v>
      </c>
      <c r="G4" s="8">
        <v>7926.5</v>
      </c>
      <c r="H4" s="8">
        <v>50606.1</v>
      </c>
      <c r="I4" s="8">
        <v>40052.800000000003</v>
      </c>
      <c r="K4" s="4">
        <v>2021</v>
      </c>
      <c r="L4" s="4">
        <v>1</v>
      </c>
      <c r="M4" s="4">
        <v>2</v>
      </c>
      <c r="N4" s="4">
        <v>1</v>
      </c>
      <c r="O4" s="4"/>
      <c r="P4" s="4"/>
      <c r="Q4" s="4"/>
      <c r="R4" s="4"/>
      <c r="S4" s="4">
        <v>2</v>
      </c>
      <c r="U4" s="4" t="s">
        <v>34</v>
      </c>
      <c r="V4" s="4" t="s">
        <v>35</v>
      </c>
      <c r="W4" s="4">
        <v>46527</v>
      </c>
    </row>
    <row r="5" spans="1:24" x14ac:dyDescent="0.15">
      <c r="A5" s="8">
        <v>2</v>
      </c>
      <c r="B5" s="8">
        <v>7665.34</v>
      </c>
      <c r="C5" s="8">
        <v>46191.7</v>
      </c>
      <c r="D5" s="8">
        <v>35667.199999999997</v>
      </c>
      <c r="E5" s="7"/>
      <c r="F5" s="8">
        <v>2</v>
      </c>
      <c r="G5" s="8">
        <v>9486.9</v>
      </c>
      <c r="H5" s="8">
        <v>68958.100000000006</v>
      </c>
      <c r="I5" s="8">
        <v>54032.800000000003</v>
      </c>
      <c r="K5" s="4">
        <v>2022</v>
      </c>
      <c r="L5" s="4">
        <v>2</v>
      </c>
      <c r="M5" s="4">
        <v>2</v>
      </c>
      <c r="N5" s="4">
        <v>1</v>
      </c>
      <c r="O5" s="4"/>
      <c r="P5" s="4">
        <v>1</v>
      </c>
      <c r="Q5" s="4">
        <v>2</v>
      </c>
      <c r="R5" s="4"/>
      <c r="S5" s="4">
        <v>2</v>
      </c>
      <c r="U5" s="4" t="s">
        <v>23</v>
      </c>
      <c r="V5" s="4" t="s">
        <v>35</v>
      </c>
      <c r="W5" s="4">
        <v>46527</v>
      </c>
    </row>
    <row r="6" spans="1:24" x14ac:dyDescent="0.15">
      <c r="A6" s="8">
        <v>3</v>
      </c>
      <c r="B6" s="8">
        <v>7237.96</v>
      </c>
      <c r="C6" s="8">
        <v>41093</v>
      </c>
      <c r="D6" s="8">
        <v>32113.4</v>
      </c>
      <c r="E6" s="7"/>
      <c r="F6" s="8">
        <v>3</v>
      </c>
      <c r="G6" s="8">
        <v>9319.4</v>
      </c>
      <c r="H6" s="8">
        <v>68870.899999999994</v>
      </c>
      <c r="I6" s="8">
        <v>60576.3</v>
      </c>
      <c r="K6" s="4">
        <v>2023</v>
      </c>
      <c r="L6" s="4">
        <v>2</v>
      </c>
      <c r="M6" s="4">
        <v>3</v>
      </c>
      <c r="N6" s="4">
        <v>1</v>
      </c>
      <c r="O6" s="4">
        <v>2</v>
      </c>
      <c r="P6" s="4"/>
      <c r="Q6" s="4"/>
      <c r="R6" s="4">
        <v>1</v>
      </c>
      <c r="S6" s="4">
        <v>2</v>
      </c>
      <c r="U6" s="4" t="s">
        <v>24</v>
      </c>
      <c r="V6" s="4" t="s">
        <v>36</v>
      </c>
      <c r="W6" s="4">
        <v>361145</v>
      </c>
    </row>
    <row r="7" spans="1:24" ht="24" x14ac:dyDescent="0.15">
      <c r="A7" s="8">
        <v>4</v>
      </c>
      <c r="B7" s="8">
        <v>6356.32</v>
      </c>
      <c r="C7" s="8">
        <v>37054.5</v>
      </c>
      <c r="D7" s="8">
        <v>29306.799999999999</v>
      </c>
      <c r="E7" s="7"/>
      <c r="F7" s="8">
        <v>4</v>
      </c>
      <c r="G7" s="8">
        <v>10464</v>
      </c>
      <c r="H7" s="8">
        <v>79596.100000000006</v>
      </c>
      <c r="I7" s="8">
        <v>79038.8</v>
      </c>
      <c r="K7" s="4">
        <v>2024</v>
      </c>
      <c r="L7" s="4">
        <v>2</v>
      </c>
      <c r="M7" s="4">
        <v>1</v>
      </c>
      <c r="N7" s="4"/>
      <c r="O7" s="4"/>
      <c r="P7" s="4">
        <v>2</v>
      </c>
      <c r="Q7" s="4"/>
      <c r="R7" s="4"/>
      <c r="S7" s="4">
        <v>2</v>
      </c>
      <c r="U7" s="4" t="s">
        <v>22</v>
      </c>
      <c r="V7" s="4" t="s">
        <v>36</v>
      </c>
      <c r="W7" s="4">
        <v>618836</v>
      </c>
    </row>
    <row r="8" spans="1:24" ht="24" x14ac:dyDescent="0.15">
      <c r="A8" s="8">
        <v>5</v>
      </c>
      <c r="B8" s="8">
        <v>5550.44</v>
      </c>
      <c r="C8" s="8">
        <v>33617.9</v>
      </c>
      <c r="D8" s="8">
        <v>26910.2</v>
      </c>
      <c r="E8" s="7"/>
      <c r="F8" s="8">
        <v>5</v>
      </c>
      <c r="G8" s="8">
        <v>9639.1</v>
      </c>
      <c r="H8" s="8">
        <v>84881.8</v>
      </c>
      <c r="I8" s="8">
        <v>94932.5</v>
      </c>
      <c r="K8" s="4">
        <v>2025</v>
      </c>
      <c r="L8" s="4">
        <v>2</v>
      </c>
      <c r="M8" s="4"/>
      <c r="N8" s="4"/>
      <c r="O8" s="4"/>
      <c r="P8" s="4"/>
      <c r="Q8" s="4"/>
      <c r="R8" s="4"/>
      <c r="S8" s="4">
        <v>2</v>
      </c>
      <c r="U8" s="4" t="s">
        <v>37</v>
      </c>
      <c r="V8" s="4" t="s">
        <v>36</v>
      </c>
      <c r="W8" s="4">
        <v>772063</v>
      </c>
    </row>
    <row r="9" spans="1:24" ht="24" x14ac:dyDescent="0.15">
      <c r="A9" s="8">
        <v>6</v>
      </c>
      <c r="B9" s="8">
        <v>4860.5200000000004</v>
      </c>
      <c r="C9" s="8">
        <v>30998.799999999999</v>
      </c>
      <c r="D9" s="8">
        <v>25113.5</v>
      </c>
      <c r="E9" s="7"/>
      <c r="F9" s="8">
        <v>6</v>
      </c>
      <c r="G9" s="8">
        <v>8728.2999999999993</v>
      </c>
      <c r="H9" s="8">
        <v>81180.7</v>
      </c>
      <c r="I9" s="8">
        <v>95736.3</v>
      </c>
      <c r="U9" s="4" t="s">
        <v>38</v>
      </c>
      <c r="V9" s="4" t="s">
        <v>36</v>
      </c>
      <c r="W9" s="4">
        <v>154266</v>
      </c>
    </row>
    <row r="10" spans="1:24" x14ac:dyDescent="0.15">
      <c r="A10" s="8">
        <v>7</v>
      </c>
      <c r="B10" s="8">
        <v>4256.3599999999997</v>
      </c>
      <c r="C10" s="8">
        <v>29042.1</v>
      </c>
      <c r="D10" s="8">
        <v>23812.5</v>
      </c>
      <c r="E10" s="7"/>
      <c r="F10" s="8">
        <v>7</v>
      </c>
      <c r="G10" s="8">
        <v>7423.6</v>
      </c>
      <c r="H10" s="8">
        <v>74276.2</v>
      </c>
      <c r="I10" s="8">
        <v>87593.8</v>
      </c>
      <c r="U10" s="4" t="s">
        <v>27</v>
      </c>
      <c r="V10" s="4" t="s">
        <v>33</v>
      </c>
      <c r="W10" s="4">
        <v>28328</v>
      </c>
    </row>
    <row r="11" spans="1:24" x14ac:dyDescent="0.15">
      <c r="A11" s="8">
        <v>8</v>
      </c>
      <c r="B11" s="8">
        <v>3737.9</v>
      </c>
      <c r="C11" s="8">
        <v>27826.799999999999</v>
      </c>
      <c r="D11" s="8">
        <v>23089.8</v>
      </c>
      <c r="E11" s="7"/>
      <c r="F11" s="8">
        <v>8</v>
      </c>
      <c r="G11" s="8">
        <v>5934.3</v>
      </c>
      <c r="H11" s="8">
        <v>65229.3</v>
      </c>
      <c r="I11" s="8">
        <v>76924.7</v>
      </c>
    </row>
    <row r="12" spans="1:24" x14ac:dyDescent="0.15">
      <c r="A12" s="8">
        <v>9</v>
      </c>
      <c r="B12" s="8">
        <v>3263.99</v>
      </c>
      <c r="C12" s="8">
        <v>27203.4</v>
      </c>
      <c r="D12" s="8">
        <v>22676.799999999999</v>
      </c>
      <c r="E12" s="7"/>
      <c r="F12" s="8">
        <v>9</v>
      </c>
      <c r="G12" s="8">
        <v>4664.3999999999996</v>
      </c>
      <c r="H12" s="8">
        <v>58050.9</v>
      </c>
      <c r="I12" s="8">
        <v>68459.3</v>
      </c>
    </row>
    <row r="13" spans="1:24" x14ac:dyDescent="0.15">
      <c r="A13" s="8">
        <v>10</v>
      </c>
      <c r="B13" s="8">
        <v>2858.28</v>
      </c>
      <c r="C13" s="8">
        <v>27628.9</v>
      </c>
      <c r="D13" s="8">
        <v>23031.5</v>
      </c>
      <c r="E13" s="7"/>
      <c r="F13" s="8">
        <v>10</v>
      </c>
      <c r="G13" s="8">
        <v>3876.2</v>
      </c>
      <c r="H13" s="8">
        <v>56424.800000000003</v>
      </c>
      <c r="I13" s="8">
        <v>66541.600000000006</v>
      </c>
    </row>
    <row r="14" spans="1:24" ht="18.75" x14ac:dyDescent="0.15">
      <c r="A14" s="8"/>
      <c r="B14" s="8"/>
      <c r="C14" s="8"/>
      <c r="D14" s="8"/>
      <c r="E14" s="7"/>
      <c r="F14" s="8"/>
      <c r="G14" s="8"/>
      <c r="H14" s="8"/>
      <c r="I14" s="8"/>
      <c r="K14" s="32" t="s">
        <v>0</v>
      </c>
      <c r="L14" s="34" t="s">
        <v>64</v>
      </c>
      <c r="M14" s="35"/>
      <c r="N14" s="36"/>
      <c r="P14" s="5" t="s">
        <v>67</v>
      </c>
      <c r="Q14" s="2">
        <v>45</v>
      </c>
      <c r="R14" s="2" t="s">
        <v>68</v>
      </c>
      <c r="S14" s="2" t="s">
        <v>69</v>
      </c>
      <c r="T14" s="2">
        <v>6.3550000000000004</v>
      </c>
      <c r="U14" s="2" t="s">
        <v>81</v>
      </c>
      <c r="V14" s="2">
        <v>7.33</v>
      </c>
      <c r="W14" s="2" t="s">
        <v>80</v>
      </c>
    </row>
    <row r="15" spans="1:24" x14ac:dyDescent="0.15">
      <c r="K15" s="33"/>
      <c r="L15" s="4" t="s">
        <v>11</v>
      </c>
      <c r="M15" s="4" t="s">
        <v>12</v>
      </c>
      <c r="N15" s="4" t="s">
        <v>13</v>
      </c>
      <c r="W15" s="2">
        <f>$Q$14*$T$14*L16*$V$14</f>
        <v>247980.07552500043</v>
      </c>
      <c r="X15" s="2">
        <v>2021</v>
      </c>
    </row>
    <row r="16" spans="1:24" x14ac:dyDescent="0.15">
      <c r="A16" s="6">
        <v>5</v>
      </c>
      <c r="B16" s="9" t="s">
        <v>2</v>
      </c>
      <c r="C16" s="9"/>
      <c r="D16" s="9"/>
      <c r="F16" s="4" t="s">
        <v>47</v>
      </c>
      <c r="G16" s="4" t="s">
        <v>30</v>
      </c>
      <c r="H16" s="4" t="s">
        <v>31</v>
      </c>
      <c r="I16" s="4" t="s">
        <v>48</v>
      </c>
      <c r="K16" s="4">
        <v>1</v>
      </c>
      <c r="L16" s="4">
        <f>G4-B4</f>
        <v>118.30000000000018</v>
      </c>
      <c r="M16" s="4">
        <f>H4-C4</f>
        <v>2979.5999999999985</v>
      </c>
      <c r="N16" s="4">
        <f>I4-D4</f>
        <v>2286.1000000000058</v>
      </c>
      <c r="W16" s="2">
        <f t="shared" ref="W16:W23" si="0">$Q$14*$T$14*L17*$V$14</f>
        <v>3818348.1519299992</v>
      </c>
      <c r="X16" s="2">
        <v>2022</v>
      </c>
    </row>
    <row r="17" spans="1:24" x14ac:dyDescent="0.15">
      <c r="A17" s="8" t="s">
        <v>39</v>
      </c>
      <c r="B17" s="8" t="s">
        <v>30</v>
      </c>
      <c r="C17" s="8" t="s">
        <v>40</v>
      </c>
      <c r="D17" s="8" t="s">
        <v>41</v>
      </c>
      <c r="F17" s="4" t="s">
        <v>49</v>
      </c>
      <c r="G17" s="4" t="s">
        <v>50</v>
      </c>
      <c r="H17" s="4">
        <v>15</v>
      </c>
      <c r="I17" s="4"/>
      <c r="K17" s="4">
        <v>2</v>
      </c>
      <c r="L17" s="4">
        <f t="shared" ref="L17:L25" si="1">G5-B5</f>
        <v>1821.5599999999995</v>
      </c>
      <c r="M17" s="4">
        <f t="shared" ref="M17:M25" si="2">H5-C5</f>
        <v>22766.400000000009</v>
      </c>
      <c r="N17" s="4">
        <f t="shared" ref="N17:N25" si="3">I5-D5</f>
        <v>18365.600000000006</v>
      </c>
      <c r="W17" s="2">
        <f t="shared" si="0"/>
        <v>4363107.763319999</v>
      </c>
      <c r="X17" s="2">
        <v>2023</v>
      </c>
    </row>
    <row r="18" spans="1:24" ht="20.25" x14ac:dyDescent="0.15">
      <c r="A18" s="8" t="s">
        <v>42</v>
      </c>
      <c r="B18" s="8" t="s">
        <v>43</v>
      </c>
      <c r="C18" s="8">
        <v>1</v>
      </c>
      <c r="D18" s="8">
        <v>455000</v>
      </c>
      <c r="F18" s="4" t="s">
        <v>51</v>
      </c>
      <c r="G18" s="4" t="s">
        <v>52</v>
      </c>
      <c r="H18" s="4">
        <v>5</v>
      </c>
      <c r="I18" s="4"/>
      <c r="K18" s="4">
        <v>3</v>
      </c>
      <c r="L18" s="4">
        <f t="shared" si="1"/>
        <v>2081.4399999999996</v>
      </c>
      <c r="M18" s="4">
        <f t="shared" si="2"/>
        <v>27777.899999999994</v>
      </c>
      <c r="N18" s="4">
        <f t="shared" si="3"/>
        <v>28462.9</v>
      </c>
      <c r="P18" s="1" t="s">
        <v>72</v>
      </c>
      <c r="Q18" s="2" t="s">
        <v>74</v>
      </c>
      <c r="R18" s="2" t="s">
        <v>82</v>
      </c>
      <c r="S18" s="2" t="s">
        <v>76</v>
      </c>
      <c r="T18" s="2" t="s">
        <v>78</v>
      </c>
      <c r="U18" s="2" t="s">
        <v>79</v>
      </c>
      <c r="W18" s="2">
        <f t="shared" si="0"/>
        <v>8610505.4660400022</v>
      </c>
      <c r="X18" s="2">
        <v>2024</v>
      </c>
    </row>
    <row r="19" spans="1:24" x14ac:dyDescent="0.15">
      <c r="A19" s="8" t="s">
        <v>44</v>
      </c>
      <c r="B19" s="8" t="s">
        <v>43</v>
      </c>
      <c r="C19" s="8">
        <v>1</v>
      </c>
      <c r="D19" s="8">
        <v>195000</v>
      </c>
      <c r="F19" s="4" t="s">
        <v>53</v>
      </c>
      <c r="G19" s="4" t="s">
        <v>54</v>
      </c>
      <c r="H19" s="4">
        <v>9</v>
      </c>
      <c r="I19" s="4"/>
      <c r="K19" s="4">
        <v>4</v>
      </c>
      <c r="L19" s="4">
        <f t="shared" si="1"/>
        <v>4107.68</v>
      </c>
      <c r="M19" s="4">
        <f t="shared" si="2"/>
        <v>42541.600000000006</v>
      </c>
      <c r="N19" s="4">
        <f t="shared" si="3"/>
        <v>49732</v>
      </c>
      <c r="W19" s="2">
        <f t="shared" si="0"/>
        <v>8570635.8038550019</v>
      </c>
      <c r="X19" s="2">
        <v>2025</v>
      </c>
    </row>
    <row r="20" spans="1:24" x14ac:dyDescent="0.15">
      <c r="A20" s="8" t="s">
        <v>45</v>
      </c>
      <c r="B20" s="8" t="s">
        <v>43</v>
      </c>
      <c r="C20" s="8">
        <v>1</v>
      </c>
      <c r="D20" s="8">
        <v>390000</v>
      </c>
      <c r="F20" s="4" t="s">
        <v>55</v>
      </c>
      <c r="G20" s="4" t="s">
        <v>56</v>
      </c>
      <c r="H20" s="4">
        <v>160000</v>
      </c>
      <c r="I20" s="4"/>
      <c r="K20" s="4">
        <v>5</v>
      </c>
      <c r="L20" s="4">
        <f t="shared" si="1"/>
        <v>4088.6600000000008</v>
      </c>
      <c r="M20" s="4">
        <f t="shared" si="2"/>
        <v>51263.9</v>
      </c>
      <c r="N20" s="4">
        <f t="shared" si="3"/>
        <v>68022.3</v>
      </c>
      <c r="W20" s="2">
        <f t="shared" si="0"/>
        <v>8107627.8657149989</v>
      </c>
      <c r="X20" s="2">
        <v>2026</v>
      </c>
    </row>
    <row r="21" spans="1:24" ht="24" x14ac:dyDescent="0.15">
      <c r="A21" s="8" t="s">
        <v>46</v>
      </c>
      <c r="B21" s="8" t="s">
        <v>43</v>
      </c>
      <c r="C21" s="8">
        <v>1</v>
      </c>
      <c r="D21" s="8">
        <v>780000</v>
      </c>
      <c r="F21" s="4" t="s">
        <v>57</v>
      </c>
      <c r="G21" s="4" t="s">
        <v>58</v>
      </c>
      <c r="H21" s="4">
        <v>35500</v>
      </c>
      <c r="I21" s="4" t="s">
        <v>59</v>
      </c>
      <c r="K21" s="4">
        <v>6</v>
      </c>
      <c r="L21" s="4">
        <f t="shared" si="1"/>
        <v>3867.7799999999988</v>
      </c>
      <c r="M21" s="4">
        <f t="shared" si="2"/>
        <v>50181.899999999994</v>
      </c>
      <c r="N21" s="4">
        <f t="shared" si="3"/>
        <v>70622.8</v>
      </c>
      <c r="W21" s="2">
        <f t="shared" si="0"/>
        <v>6639158.1944700023</v>
      </c>
      <c r="X21" s="2">
        <v>2027</v>
      </c>
    </row>
    <row r="22" spans="1:24" x14ac:dyDescent="0.15">
      <c r="A22" s="8" t="s">
        <v>15</v>
      </c>
      <c r="B22" s="8"/>
      <c r="C22" s="8"/>
      <c r="D22" s="8">
        <v>1820000</v>
      </c>
      <c r="F22" s="4" t="s">
        <v>60</v>
      </c>
      <c r="G22" s="4" t="s">
        <v>61</v>
      </c>
      <c r="H22" s="4">
        <v>15</v>
      </c>
      <c r="I22" s="4"/>
      <c r="K22" s="4">
        <v>7</v>
      </c>
      <c r="L22" s="4">
        <f t="shared" si="1"/>
        <v>3167.2400000000007</v>
      </c>
      <c r="M22" s="4">
        <f t="shared" si="2"/>
        <v>45234.1</v>
      </c>
      <c r="N22" s="4">
        <f t="shared" si="3"/>
        <v>63781.3</v>
      </c>
      <c r="W22" s="2">
        <f t="shared" si="0"/>
        <v>4604086.5417000009</v>
      </c>
      <c r="X22" s="2">
        <v>2028</v>
      </c>
    </row>
    <row r="23" spans="1:24" ht="24" x14ac:dyDescent="0.15">
      <c r="F23" s="4" t="s">
        <v>62</v>
      </c>
      <c r="G23" s="4"/>
      <c r="H23" s="4"/>
      <c r="I23" s="4" t="s">
        <v>63</v>
      </c>
      <c r="K23" s="4">
        <v>8</v>
      </c>
      <c r="L23" s="4">
        <f t="shared" si="1"/>
        <v>2196.4</v>
      </c>
      <c r="M23" s="4">
        <f t="shared" si="2"/>
        <v>37402.5</v>
      </c>
      <c r="N23" s="4">
        <f t="shared" si="3"/>
        <v>53834.899999999994</v>
      </c>
      <c r="W23" s="2">
        <f t="shared" si="0"/>
        <v>2935534.8906675</v>
      </c>
      <c r="X23" s="2">
        <v>2029</v>
      </c>
    </row>
    <row r="24" spans="1:24" x14ac:dyDescent="0.15">
      <c r="F24" s="2" t="s">
        <v>65</v>
      </c>
      <c r="G24" s="2" t="s">
        <v>66</v>
      </c>
      <c r="H24" s="2">
        <v>43</v>
      </c>
      <c r="K24" s="4">
        <v>9</v>
      </c>
      <c r="L24" s="4">
        <f t="shared" si="1"/>
        <v>1400.4099999999999</v>
      </c>
      <c r="M24" s="4">
        <f t="shared" si="2"/>
        <v>30847.5</v>
      </c>
      <c r="N24" s="4">
        <f t="shared" si="3"/>
        <v>45782.5</v>
      </c>
      <c r="W24" s="2">
        <f>$Q$14*$T$14*L25*$V$14</f>
        <v>2133760.5957599995</v>
      </c>
      <c r="X24" s="2">
        <v>2030</v>
      </c>
    </row>
    <row r="25" spans="1:24" x14ac:dyDescent="0.15">
      <c r="K25" s="4">
        <v>10</v>
      </c>
      <c r="L25" s="4">
        <f t="shared" si="1"/>
        <v>1017.9199999999996</v>
      </c>
      <c r="M25" s="4">
        <f t="shared" si="2"/>
        <v>28795.9</v>
      </c>
      <c r="N25" s="4">
        <f t="shared" si="3"/>
        <v>43510.100000000006</v>
      </c>
    </row>
    <row r="26" spans="1:24" x14ac:dyDescent="0.15">
      <c r="P26" s="2" t="s">
        <v>70</v>
      </c>
    </row>
    <row r="33" spans="2:16" x14ac:dyDescent="0.15">
      <c r="E33" s="19"/>
    </row>
    <row r="34" spans="2:16" ht="33.75" x14ac:dyDescent="0.15">
      <c r="C34" s="10" t="s">
        <v>83</v>
      </c>
      <c r="D34" s="11" t="s">
        <v>84</v>
      </c>
      <c r="E34" s="12" t="s">
        <v>73</v>
      </c>
      <c r="F34" s="13" t="s">
        <v>85</v>
      </c>
      <c r="G34" s="14" t="s">
        <v>86</v>
      </c>
      <c r="H34" s="15" t="s">
        <v>87</v>
      </c>
      <c r="I34" s="13" t="s">
        <v>88</v>
      </c>
      <c r="J34" s="14" t="s">
        <v>89</v>
      </c>
      <c r="K34" s="12" t="s">
        <v>90</v>
      </c>
      <c r="L34" s="10" t="s">
        <v>75</v>
      </c>
      <c r="M34" s="12" t="s">
        <v>91</v>
      </c>
      <c r="N34" s="16" t="s">
        <v>92</v>
      </c>
      <c r="O34" s="16" t="s">
        <v>93</v>
      </c>
      <c r="P34" s="17" t="s">
        <v>94</v>
      </c>
    </row>
    <row r="35" spans="2:16" ht="13.5" x14ac:dyDescent="0.15">
      <c r="B35" s="2">
        <v>2021</v>
      </c>
      <c r="C35" s="18">
        <v>2059.02</v>
      </c>
      <c r="D35" s="2">
        <f>C35*L16</f>
        <v>243582.06600000037</v>
      </c>
      <c r="E35" s="2">
        <f>D35*0.13</f>
        <v>31665.668580000049</v>
      </c>
    </row>
    <row r="36" spans="2:16" ht="13.5" x14ac:dyDescent="0.15">
      <c r="B36" s="2">
        <v>2022</v>
      </c>
      <c r="C36" s="18">
        <v>2059.02</v>
      </c>
      <c r="D36" s="2">
        <f t="shared" ref="D36:D44" si="4">C36*L17</f>
        <v>3750628.4711999991</v>
      </c>
      <c r="E36" s="2">
        <f t="shared" ref="E36:E44" si="5">D36*0.13</f>
        <v>487581.70125599991</v>
      </c>
    </row>
    <row r="37" spans="2:16" ht="13.5" x14ac:dyDescent="0.15">
      <c r="B37" s="2">
        <v>2023</v>
      </c>
      <c r="C37" s="18">
        <v>2059.02</v>
      </c>
      <c r="D37" s="2">
        <f t="shared" si="4"/>
        <v>4285726.5887999991</v>
      </c>
      <c r="E37" s="2">
        <f t="shared" si="5"/>
        <v>557144.45654399996</v>
      </c>
    </row>
    <row r="38" spans="2:16" ht="13.5" x14ac:dyDescent="0.15">
      <c r="B38" s="2">
        <v>2024</v>
      </c>
      <c r="C38" s="18">
        <v>2059.02</v>
      </c>
      <c r="D38" s="2">
        <f t="shared" si="4"/>
        <v>8457795.2736000009</v>
      </c>
      <c r="E38" s="2">
        <f t="shared" si="5"/>
        <v>1099513.3855680001</v>
      </c>
    </row>
    <row r="39" spans="2:16" ht="13.5" x14ac:dyDescent="0.15">
      <c r="B39" s="2">
        <v>2025</v>
      </c>
      <c r="C39" s="18">
        <v>2059.02</v>
      </c>
      <c r="D39" s="2">
        <f t="shared" si="4"/>
        <v>8418632.713200001</v>
      </c>
      <c r="E39" s="2">
        <f t="shared" si="5"/>
        <v>1094422.2527160002</v>
      </c>
    </row>
    <row r="40" spans="2:16" ht="13.5" x14ac:dyDescent="0.15">
      <c r="B40" s="2">
        <v>2026</v>
      </c>
      <c r="C40" s="18">
        <v>2059.02</v>
      </c>
      <c r="D40" s="2">
        <f t="shared" si="4"/>
        <v>7963836.3755999971</v>
      </c>
      <c r="E40" s="2">
        <f t="shared" si="5"/>
        <v>1035298.7288279997</v>
      </c>
    </row>
    <row r="41" spans="2:16" ht="13.5" x14ac:dyDescent="0.15">
      <c r="B41" s="2">
        <v>2027</v>
      </c>
      <c r="C41" s="18">
        <v>2059.02</v>
      </c>
      <c r="D41" s="2">
        <f t="shared" si="4"/>
        <v>6521410.5048000012</v>
      </c>
      <c r="E41" s="2">
        <f t="shared" si="5"/>
        <v>847783.3656240002</v>
      </c>
    </row>
    <row r="42" spans="2:16" ht="13.5" x14ac:dyDescent="0.15">
      <c r="B42" s="2">
        <v>2028</v>
      </c>
      <c r="C42" s="18">
        <v>2059.02</v>
      </c>
      <c r="D42" s="2">
        <f t="shared" si="4"/>
        <v>4522431.5279999999</v>
      </c>
      <c r="E42" s="2">
        <f t="shared" si="5"/>
        <v>587916.09863999998</v>
      </c>
    </row>
    <row r="43" spans="2:16" ht="13.5" x14ac:dyDescent="0.15">
      <c r="B43" s="2">
        <v>2029</v>
      </c>
      <c r="C43" s="18">
        <v>2059.02</v>
      </c>
      <c r="D43" s="2">
        <f t="shared" si="4"/>
        <v>2883472.1981999995</v>
      </c>
      <c r="E43" s="2">
        <f t="shared" si="5"/>
        <v>374851.38576599996</v>
      </c>
    </row>
    <row r="44" spans="2:16" ht="13.5" x14ac:dyDescent="0.15">
      <c r="B44" s="2">
        <v>2030</v>
      </c>
      <c r="C44" s="18">
        <v>2059.02</v>
      </c>
      <c r="D44" s="2">
        <f t="shared" si="4"/>
        <v>2095917.6383999991</v>
      </c>
      <c r="E44" s="2">
        <f t="shared" si="5"/>
        <v>272469.29299199989</v>
      </c>
    </row>
    <row r="48" spans="2:16" x14ac:dyDescent="0.15">
      <c r="C48" s="2" t="s">
        <v>102</v>
      </c>
    </row>
  </sheetData>
  <mergeCells count="12">
    <mergeCell ref="K1:M1"/>
    <mergeCell ref="K2:K3"/>
    <mergeCell ref="L2:S2"/>
    <mergeCell ref="U1:V1"/>
    <mergeCell ref="K14:K15"/>
    <mergeCell ref="L14:N14"/>
    <mergeCell ref="A1:C1"/>
    <mergeCell ref="A2:A3"/>
    <mergeCell ref="B2:D2"/>
    <mergeCell ref="F1:H1"/>
    <mergeCell ref="F2:F3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A17" sqref="A15:A18"/>
    </sheetView>
  </sheetViews>
  <sheetFormatPr defaultRowHeight="13.5" x14ac:dyDescent="0.15"/>
  <sheetData>
    <row r="1" spans="1:1" x14ac:dyDescent="0.15">
      <c r="A1">
        <v>0.47402894970021503</v>
      </c>
    </row>
    <row r="2" spans="1:1" x14ac:dyDescent="0.15">
      <c r="A2">
        <v>0.39120470784109984</v>
      </c>
    </row>
    <row r="3" spans="1:1" x14ac:dyDescent="0.15">
      <c r="A3">
        <v>0.24971124973543368</v>
      </c>
    </row>
    <row r="4" spans="1:1" x14ac:dyDescent="0.15">
      <c r="A4">
        <v>0.21614438996241936</v>
      </c>
    </row>
    <row r="5" spans="1:1" x14ac:dyDescent="0.15">
      <c r="A5">
        <v>0.1218665448164109</v>
      </c>
    </row>
    <row r="6" spans="1:1" x14ac:dyDescent="0.15">
      <c r="A6">
        <v>1.9317983164679031E-2</v>
      </c>
    </row>
    <row r="7" spans="1:1" x14ac:dyDescent="0.15">
      <c r="A7" t="s">
        <v>94</v>
      </c>
    </row>
    <row r="8" spans="1:1" x14ac:dyDescent="0.15">
      <c r="A8">
        <v>0.47402894970021503</v>
      </c>
    </row>
    <row r="9" spans="1:1" x14ac:dyDescent="0.15">
      <c r="A9">
        <v>0.4240070871162438</v>
      </c>
    </row>
    <row r="10" spans="1:1" x14ac:dyDescent="0.15">
      <c r="A10">
        <v>0.33025286109975416</v>
      </c>
    </row>
    <row r="11" spans="1:1" x14ac:dyDescent="0.15">
      <c r="A11">
        <v>0.20364434483419336</v>
      </c>
    </row>
    <row r="12" spans="1:1" x14ac:dyDescent="0.15">
      <c r="A12">
        <v>6.435526419492188E-2</v>
      </c>
    </row>
    <row r="13" spans="1:1" x14ac:dyDescent="0.15">
      <c r="A13">
        <v>-7.4464960238893929E-2</v>
      </c>
    </row>
    <row r="14" spans="1:1" x14ac:dyDescent="0.15">
      <c r="A14" t="s">
        <v>94</v>
      </c>
    </row>
    <row r="15" spans="1:1" x14ac:dyDescent="0.15">
      <c r="A15">
        <v>0.47402894970021503</v>
      </c>
    </row>
    <row r="16" spans="1:1" x14ac:dyDescent="0.15">
      <c r="A16">
        <v>0.46270795639962659</v>
      </c>
    </row>
    <row r="17" spans="1:1" x14ac:dyDescent="0.15">
      <c r="A17">
        <v>0.45130876779819618</v>
      </c>
    </row>
    <row r="18" spans="1:1" x14ac:dyDescent="0.15">
      <c r="A18">
        <v>0.43982585910412908</v>
      </c>
    </row>
    <row r="19" spans="1:1" x14ac:dyDescent="0.15">
      <c r="A19">
        <v>0.42825325246427415</v>
      </c>
    </row>
    <row r="20" spans="1:1" x14ac:dyDescent="0.15">
      <c r="A20">
        <v>0.41658446322441645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措施后变化</vt:lpstr>
      <vt:lpstr>部分计算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2022-04-23T15:16:19Z</dcterms:created>
  <dcterms:modified xsi:type="dcterms:W3CDTF">2022-04-24T16:13:04Z</dcterms:modified>
</cp:coreProperties>
</file>