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ylin/Dropbox/CYCU/Courses/Coastal_Engrg/HomeWork/Final/FFT/"/>
    </mc:Choice>
  </mc:AlternateContent>
  <xr:revisionPtr revIDLastSave="0" documentId="13_ncr:1_{1C335C02-3B22-F84A-ACD1-09B59C48C6DD}" xr6:coauthVersionLast="47" xr6:coauthVersionMax="47" xr10:uidLastSave="{00000000-0000-0000-0000-000000000000}"/>
  <bookViews>
    <workbookView xWindow="21960" yWindow="500" windowWidth="28580" windowHeight="24900" xr2:uid="{00000000-000D-0000-FFFF-FFFF00000000}"/>
  </bookViews>
  <sheets>
    <sheet name="Wav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1" l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<sst xmlns="http://schemas.openxmlformats.org/spreadsheetml/2006/main" count="6" uniqueCount="6">
  <si>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Time (s)</t>
  </si>
  <si>
    <t>Wave Data</t>
  </si>
  <si>
    <t>X(k) Real</t>
  </si>
  <si>
    <t>X(k) Imag</t>
  </si>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</sst>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Data'!$B$1</c:f>
              <c:strCache>
                <c:ptCount val="1"/>
                <c:pt idx="0">
                  <c:v>Wave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'Wave Data'!$A$2:$A$1025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</c:numCache>
            </c:numRef>
          </c:xVal>
          <c:yVal>
            <c:numRef>
              <c:f>'Wave Data'!$B$2:$B$1025</c:f>
              <c:numCache>
                <c:formatCode>General</c:formatCode>
                <c:ptCount val="1024"/>
                <c:pt idx="0">
                  <c:v>9.9342830602246537E-2</c:v>
                </c:pt>
                <c:pt idx="1">
                  <c:v>1.060132392058236</c:v>
                </c:pt>
                <c:pt idx="2">
                  <c:v>1.0805942239152919</c:v>
                </c:pt>
                <c:pt idx="3">
                  <c:v>0.7556624875767588</c:v>
                </c:pt>
                <c:pt idx="4">
                  <c:v>0.54095457734780594</c:v>
                </c:pt>
                <c:pt idx="5">
                  <c:v>0.45317260861016401</c:v>
                </c:pt>
                <c:pt idx="6">
                  <c:v>-0.27194268919099451</c:v>
                </c:pt>
                <c:pt idx="7">
                  <c:v>-1.297569570464572</c:v>
                </c:pt>
                <c:pt idx="8">
                  <c:v>-1.0449513934821439</c:v>
                </c:pt>
                <c:pt idx="9">
                  <c:v>2.072675642471947E-2</c:v>
                </c:pt>
                <c:pt idx="10">
                  <c:v>-9.2683538562492396E-2</c:v>
                </c:pt>
                <c:pt idx="11">
                  <c:v>-5.3606984215784081E-3</c:v>
                </c:pt>
                <c:pt idx="12">
                  <c:v>0.99944897060836002</c:v>
                </c:pt>
                <c:pt idx="13">
                  <c:v>1.0684004673635941</c:v>
                </c:pt>
                <c:pt idx="14">
                  <c:v>0.24280168578986719</c:v>
                </c:pt>
                <c:pt idx="15">
                  <c:v>-0.61245750584819403</c:v>
                </c:pt>
                <c:pt idx="16">
                  <c:v>-0.79035147635935799</c:v>
                </c:pt>
                <c:pt idx="17">
                  <c:v>-0.38820704977609871</c:v>
                </c:pt>
                <c:pt idx="18">
                  <c:v>-1.132661331399395</c:v>
                </c:pt>
                <c:pt idx="19">
                  <c:v>-1.3702459925595321</c:v>
                </c:pt>
                <c:pt idx="20">
                  <c:v>0.29312975378430972</c:v>
                </c:pt>
                <c:pt idx="21">
                  <c:v>1.0426299921951661</c:v>
                </c:pt>
                <c:pt idx="22">
                  <c:v>0.96456215723274064</c:v>
                </c:pt>
                <c:pt idx="23">
                  <c:v>0.16610687905246249</c:v>
                </c:pt>
                <c:pt idx="24">
                  <c:v>0.47890870738743629</c:v>
                </c:pt>
                <c:pt idx="25">
                  <c:v>0.52218451794197374</c:v>
                </c:pt>
                <c:pt idx="26">
                  <c:v>-0.81798396777693416</c:v>
                </c:pt>
                <c:pt idx="27">
                  <c:v>-1.3759169126260189</c:v>
                </c:pt>
                <c:pt idx="28">
                  <c:v>-1.0711842542789161</c:v>
                </c:pt>
                <c:pt idx="29">
                  <c:v>-0.14612400225112909</c:v>
                </c:pt>
                <c:pt idx="30">
                  <c:v>-0.12034132244587741</c:v>
                </c:pt>
                <c:pt idx="31">
                  <c:v>0.45824088919426009</c:v>
                </c:pt>
                <c:pt idx="32">
                  <c:v>0.94835707134756553</c:v>
                </c:pt>
                <c:pt idx="33">
                  <c:v>1.239514330503974</c:v>
                </c:pt>
                <c:pt idx="34">
                  <c:v>0.75229423471311085</c:v>
                </c:pt>
                <c:pt idx="35">
                  <c:v>-0.74416872999420358</c:v>
                </c:pt>
                <c:pt idx="36">
                  <c:v>-0.54601253329152244</c:v>
                </c:pt>
                <c:pt idx="37">
                  <c:v>-0.84299054107110849</c:v>
                </c:pt>
                <c:pt idx="38">
                  <c:v>-1.2166937260748369</c:v>
                </c:pt>
                <c:pt idx="39">
                  <c:v>-1.0484130051186491</c:v>
                </c:pt>
                <c:pt idx="40">
                  <c:v>0.14769331599907989</c:v>
                </c:pt>
                <c:pt idx="41">
                  <c:v>1.122058908530466</c:v>
                </c:pt>
                <c:pt idx="42">
                  <c:v>0.92792685981750478</c:v>
                </c:pt>
                <c:pt idx="43">
                  <c:v>0.39083577717729617</c:v>
                </c:pt>
                <c:pt idx="44">
                  <c:v>0.29208085421898372</c:v>
                </c:pt>
                <c:pt idx="45">
                  <c:v>0.35603115832105919</c:v>
                </c:pt>
                <c:pt idx="46">
                  <c:v>-0.67991300648442654</c:v>
                </c:pt>
                <c:pt idx="47">
                  <c:v>-1.23963207105137</c:v>
                </c:pt>
                <c:pt idx="48">
                  <c:v>-0.88233285838146314</c:v>
                </c:pt>
                <c:pt idx="49">
                  <c:v>-0.44039328336502098</c:v>
                </c:pt>
                <c:pt idx="50">
                  <c:v>6.4816793878957529E-2</c:v>
                </c:pt>
                <c:pt idx="51">
                  <c:v>1.076879620920594E-2</c:v>
                </c:pt>
                <c:pt idx="52">
                  <c:v>0.81567211623396341</c:v>
                </c:pt>
                <c:pt idx="53">
                  <c:v>1.5733917740633261</c:v>
                </c:pt>
                <c:pt idx="54">
                  <c:v>0.79398515679166792</c:v>
                </c:pt>
                <c:pt idx="55">
                  <c:v>-0.31374397617675531</c:v>
                </c:pt>
                <c:pt idx="56">
                  <c:v>-0.75562875693700138</c:v>
                </c:pt>
                <c:pt idx="57">
                  <c:v>-0.51289899146539719</c:v>
                </c:pt>
                <c:pt idx="58">
                  <c:v>-0.88480383001444118</c:v>
                </c:pt>
                <c:pt idx="59">
                  <c:v>-0.8926762268680053</c:v>
                </c:pt>
                <c:pt idx="60">
                  <c:v>-9.5834847569064852E-2</c:v>
                </c:pt>
                <c:pt idx="61">
                  <c:v>1.050653456959711</c:v>
                </c:pt>
                <c:pt idx="62">
                  <c:v>0.72978952149395115</c:v>
                </c:pt>
                <c:pt idx="63">
                  <c:v>0.21181519147902109</c:v>
                </c:pt>
                <c:pt idx="64">
                  <c:v>0.75029041677131203</c:v>
                </c:pt>
                <c:pt idx="65">
                  <c:v>0.77124800571416263</c:v>
                </c:pt>
                <c:pt idx="66">
                  <c:v>-0.60218727660853832</c:v>
                </c:pt>
                <c:pt idx="67">
                  <c:v>-1.250349936716747</c:v>
                </c:pt>
                <c:pt idx="68">
                  <c:v>-0.87872931128562581</c:v>
                </c:pt>
                <c:pt idx="69">
                  <c:v>-0.21680920321349639</c:v>
                </c:pt>
                <c:pt idx="70">
                  <c:v>7.2279121101684995E-2</c:v>
                </c:pt>
                <c:pt idx="71">
                  <c:v>0.39539256558566271</c:v>
                </c:pt>
                <c:pt idx="72">
                  <c:v>0.9438913084731605</c:v>
                </c:pt>
                <c:pt idx="73">
                  <c:v>1.763985247457954</c:v>
                </c:pt>
                <c:pt idx="74">
                  <c:v>6.3836231474526106E-2</c:v>
                </c:pt>
                <c:pt idx="75">
                  <c:v>-0.33561949912494982</c:v>
                </c:pt>
                <c:pt idx="76">
                  <c:v>-0.5703758386448432</c:v>
                </c:pt>
                <c:pt idx="77">
                  <c:v>-0.51085798638832758</c:v>
                </c:pt>
                <c:pt idx="78">
                  <c:v>-0.93270436098804954</c:v>
                </c:pt>
                <c:pt idx="79">
                  <c:v>-1.485299035212656</c:v>
                </c:pt>
                <c:pt idx="80">
                  <c:v>-4.3934377567506802E-2</c:v>
                </c:pt>
                <c:pt idx="81">
                  <c:v>1.1592077665948231</c:v>
                </c:pt>
                <c:pt idx="82">
                  <c:v>1.2466353252434641</c:v>
                </c:pt>
                <c:pt idx="83">
                  <c:v>0.34740247264042601</c:v>
                </c:pt>
                <c:pt idx="84">
                  <c:v>0.42608653171383831</c:v>
                </c:pt>
                <c:pt idx="85">
                  <c:v>0.39964859128309133</c:v>
                </c:pt>
                <c:pt idx="86">
                  <c:v>-0.40470482875205221</c:v>
                </c:pt>
                <c:pt idx="87">
                  <c:v>-1.3853062943632151</c:v>
                </c:pt>
                <c:pt idx="88">
                  <c:v>-1.0570085570485721</c:v>
                </c:pt>
                <c:pt idx="89">
                  <c:v>1.486823433019914E-2</c:v>
                </c:pt>
                <c:pt idx="90">
                  <c:v>1.9415509869606849E-2</c:v>
                </c:pt>
                <c:pt idx="91">
                  <c:v>0.28151425039904637</c:v>
                </c:pt>
                <c:pt idx="92">
                  <c:v>0.81064589751967608</c:v>
                </c:pt>
                <c:pt idx="93">
                  <c:v>1.3855240869756</c:v>
                </c:pt>
                <c:pt idx="94">
                  <c:v>0.5093636216660411</c:v>
                </c:pt>
                <c:pt idx="95">
                  <c:v>-0.79270298962641772</c:v>
                </c:pt>
                <c:pt idx="96">
                  <c:v>-0.52856119687955894</c:v>
                </c:pt>
                <c:pt idx="97">
                  <c:v>-0.39884546185917608</c:v>
                </c:pt>
                <c:pt idx="98">
                  <c:v>-0.95003382496665378</c:v>
                </c:pt>
                <c:pt idx="99">
                  <c:v>-1.134702678967507</c:v>
                </c:pt>
                <c:pt idx="100">
                  <c:v>-0.28307414841008482</c:v>
                </c:pt>
                <c:pt idx="101">
                  <c:v>1.0036561877394019</c:v>
                </c:pt>
                <c:pt idx="102">
                  <c:v>0.88251361298980169</c:v>
                </c:pt>
                <c:pt idx="103">
                  <c:v>0.29060106245083173</c:v>
                </c:pt>
                <c:pt idx="104">
                  <c:v>0.55552810995927715</c:v>
                </c:pt>
                <c:pt idx="105">
                  <c:v>0.58081017136290658</c:v>
                </c:pt>
                <c:pt idx="106">
                  <c:v>-0.21054807205036929</c:v>
                </c:pt>
                <c:pt idx="107">
                  <c:v>-1.4161409537287839</c:v>
                </c:pt>
                <c:pt idx="108">
                  <c:v>-0.89954643815060842</c:v>
                </c:pt>
                <c:pt idx="109">
                  <c:v>-0.1026744354457059</c:v>
                </c:pt>
                <c:pt idx="110">
                  <c:v>-0.38375424305982009</c:v>
                </c:pt>
                <c:pt idx="111">
                  <c:v>8.2482477202624707E-2</c:v>
                </c:pt>
                <c:pt idx="112">
                  <c:v>0.96310255828335456</c:v>
                </c:pt>
                <c:pt idx="113">
                  <c:v>1.943704938792211</c:v>
                </c:pt>
                <c:pt idx="114">
                  <c:v>0.54931305933625385</c:v>
                </c:pt>
                <c:pt idx="115">
                  <c:v>-0.43969053153327109</c:v>
                </c:pt>
                <c:pt idx="116">
                  <c:v>-0.5947276062335195</c:v>
                </c:pt>
                <c:pt idx="117">
                  <c:v>-0.68479212381906018</c:v>
                </c:pt>
                <c:pt idx="118">
                  <c:v>-0.72249195339214711</c:v>
                </c:pt>
                <c:pt idx="119">
                  <c:v>-0.93739864575512344</c:v>
                </c:pt>
                <c:pt idx="120">
                  <c:v>0.15820638940859569</c:v>
                </c:pt>
                <c:pt idx="121">
                  <c:v>0.9059077613335258</c:v>
                </c:pt>
                <c:pt idx="122">
                  <c:v>1.2316153784823769</c:v>
                </c:pt>
                <c:pt idx="123">
                  <c:v>0.1706863037366996</c:v>
                </c:pt>
                <c:pt idx="124">
                  <c:v>0.70515667105252233</c:v>
                </c:pt>
                <c:pt idx="125">
                  <c:v>0.93809112516199511</c:v>
                </c:pt>
                <c:pt idx="126">
                  <c:v>-0.78589251731860399</c:v>
                </c:pt>
                <c:pt idx="127">
                  <c:v>-1.564316062215706</c:v>
                </c:pt>
                <c:pt idx="128">
                  <c:v>-0.93112624327763016</c:v>
                </c:pt>
                <c:pt idx="129">
                  <c:v>-0.18848038311571261</c:v>
                </c:pt>
                <c:pt idx="130">
                  <c:v>-0.31013268621321333</c:v>
                </c:pt>
                <c:pt idx="131">
                  <c:v>0.1014978472536732</c:v>
                </c:pt>
                <c:pt idx="132">
                  <c:v>0.73859577354993111</c:v>
                </c:pt>
                <c:pt idx="133">
                  <c:v>1.5457750024221899</c:v>
                </c:pt>
                <c:pt idx="134">
                  <c:v>0.40390040544572681</c:v>
                </c:pt>
                <c:pt idx="135">
                  <c:v>-0.19001311899648521</c:v>
                </c:pt>
                <c:pt idx="136">
                  <c:v>-0.74443591075971505</c:v>
                </c:pt>
                <c:pt idx="137">
                  <c:v>-0.51546881953628887</c:v>
                </c:pt>
                <c:pt idx="138">
                  <c:v>-0.78835307282121603</c:v>
                </c:pt>
                <c:pt idx="139">
                  <c:v>-1.3339581155792699</c:v>
                </c:pt>
                <c:pt idx="140">
                  <c:v>4.5491986920814617E-2</c:v>
                </c:pt>
                <c:pt idx="141">
                  <c:v>1.3492138031489589</c:v>
                </c:pt>
                <c:pt idx="142">
                  <c:v>0.62955986938290376</c:v>
                </c:pt>
                <c:pt idx="143">
                  <c:v>0.48798328800161661</c:v>
                </c:pt>
                <c:pt idx="144">
                  <c:v>0.63976181114215624</c:v>
                </c:pt>
                <c:pt idx="145">
                  <c:v>0.65636457435546203</c:v>
                </c:pt>
                <c:pt idx="146">
                  <c:v>-0.83517539446808264</c:v>
                </c:pt>
                <c:pt idx="147">
                  <c:v>-1.715147838912007</c:v>
                </c:pt>
                <c:pt idx="148">
                  <c:v>-0.84666820317177605</c:v>
                </c:pt>
                <c:pt idx="149">
                  <c:v>-2.8388317645836089E-2</c:v>
                </c:pt>
                <c:pt idx="150">
                  <c:v>5.00985700691709E-2</c:v>
                </c:pt>
                <c:pt idx="151">
                  <c:v>0.15707489419186241</c:v>
                </c:pt>
                <c:pt idx="152">
                  <c:v>0.81505157197944245</c:v>
                </c:pt>
                <c:pt idx="153">
                  <c:v>1.4975072557273541</c:v>
                </c:pt>
                <c:pt idx="154">
                  <c:v>0.64639974695220959</c:v>
                </c:pt>
                <c:pt idx="155">
                  <c:v>-0.64287028360526621</c:v>
                </c:pt>
                <c:pt idx="156">
                  <c:v>-0.21463035006352699</c:v>
                </c:pt>
                <c:pt idx="157">
                  <c:v>-0.35628993211279608</c:v>
                </c:pt>
                <c:pt idx="158">
                  <c:v>-1.189317215735687</c:v>
                </c:pt>
                <c:pt idx="159">
                  <c:v>-0.95647453056571319</c:v>
                </c:pt>
                <c:pt idx="160">
                  <c:v>-0.19493633404547309</c:v>
                </c:pt>
                <c:pt idx="161">
                  <c:v>1.245202173040963</c:v>
                </c:pt>
                <c:pt idx="162">
                  <c:v>1.182775632096646</c:v>
                </c:pt>
                <c:pt idx="163">
                  <c:v>0.28692005262481379</c:v>
                </c:pt>
                <c:pt idx="164">
                  <c:v>0.78046047814132513</c:v>
                </c:pt>
                <c:pt idx="165">
                  <c:v>0.58255618538730014</c:v>
                </c:pt>
                <c:pt idx="166">
                  <c:v>-0.42337322029357349</c:v>
                </c:pt>
                <c:pt idx="167">
                  <c:v>-1.0716979197643619</c:v>
                </c:pt>
                <c:pt idx="168">
                  <c:v>-1.000134139495727</c:v>
                </c:pt>
                <c:pt idx="169">
                  <c:v>-0.2385324851639716</c:v>
                </c:pt>
                <c:pt idx="170">
                  <c:v>-0.17790288592509829</c:v>
                </c:pt>
                <c:pt idx="171">
                  <c:v>-7.5376804700620692E-2</c:v>
                </c:pt>
                <c:pt idx="172">
                  <c:v>0.93563617441232272</c:v>
                </c:pt>
                <c:pt idx="173">
                  <c:v>1.5192869112584819</c:v>
                </c:pt>
                <c:pt idx="174">
                  <c:v>0.64312341215850033</c:v>
                </c:pt>
                <c:pt idx="175">
                  <c:v>-0.33456335019278738</c:v>
                </c:pt>
                <c:pt idx="176">
                  <c:v>-0.58518487391690799</c:v>
                </c:pt>
                <c:pt idx="177">
                  <c:v>-0.16034970086368999</c:v>
                </c:pt>
                <c:pt idx="178">
                  <c:v>-1.0039878829427471</c:v>
                </c:pt>
                <c:pt idx="179">
                  <c:v>-0.54375141897455581</c:v>
                </c:pt>
                <c:pt idx="180">
                  <c:v>0.1251334695529949</c:v>
                </c:pt>
                <c:pt idx="181">
                  <c:v>0.91635374100921596</c:v>
                </c:pt>
                <c:pt idx="182">
                  <c:v>0.73687801668293484</c:v>
                </c:pt>
                <c:pt idx="183">
                  <c:v>0.54755099934379325</c:v>
                </c:pt>
                <c:pt idx="184">
                  <c:v>0.54309269522729386</c:v>
                </c:pt>
                <c:pt idx="185">
                  <c:v>0.64280009881841926</c:v>
                </c:pt>
                <c:pt idx="186">
                  <c:v>-0.49313772737774819</c:v>
                </c:pt>
                <c:pt idx="187">
                  <c:v>-1.4656222988265259</c:v>
                </c:pt>
                <c:pt idx="188">
                  <c:v>-1.1204152599088311</c:v>
                </c:pt>
                <c:pt idx="189">
                  <c:v>-0.39075469722964701</c:v>
                </c:pt>
                <c:pt idx="190">
                  <c:v>-8.9302990413415495E-2</c:v>
                </c:pt>
                <c:pt idx="191">
                  <c:v>0.25906501115716102</c:v>
                </c:pt>
                <c:pt idx="192">
                  <c:v>0.99387526512118696</c:v>
                </c:pt>
                <c:pt idx="193">
                  <c:v>1.2019087605527561</c:v>
                </c:pt>
                <c:pt idx="194">
                  <c:v>0.62242143746271883</c:v>
                </c:pt>
                <c:pt idx="195">
                  <c:v>-0.42293652405422422</c:v>
                </c:pt>
                <c:pt idx="196">
                  <c:v>-0.76455673953271253</c:v>
                </c:pt>
                <c:pt idx="197">
                  <c:v>-0.42031149510604771</c:v>
                </c:pt>
                <c:pt idx="198">
                  <c:v>-0.93941477260596362</c:v>
                </c:pt>
                <c:pt idx="199">
                  <c:v>-1.316379311858604</c:v>
                </c:pt>
                <c:pt idx="200">
                  <c:v>7.1557472069652753E-2</c:v>
                </c:pt>
                <c:pt idx="201">
                  <c:v>1.1999421575661191</c:v>
                </c:pt>
                <c:pt idx="202">
                  <c:v>1.1676667649302139</c:v>
                </c:pt>
                <c:pt idx="203">
                  <c:v>0.66181692670213688</c:v>
                </c:pt>
                <c:pt idx="204">
                  <c:v>0.31225137870106068</c:v>
                </c:pt>
                <c:pt idx="205">
                  <c:v>0.3124349920169911</c:v>
                </c:pt>
                <c:pt idx="206">
                  <c:v>-0.4847781988507161</c:v>
                </c:pt>
                <c:pt idx="207">
                  <c:v>-1.348299326112709</c:v>
                </c:pt>
                <c:pt idx="208">
                  <c:v>-0.84804697903393778</c:v>
                </c:pt>
                <c:pt idx="209">
                  <c:v>0.68276104583846986</c:v>
                </c:pt>
                <c:pt idx="210">
                  <c:v>0.1141781021386329</c:v>
                </c:pt>
                <c:pt idx="211">
                  <c:v>0.3148983803285974</c:v>
                </c:pt>
                <c:pt idx="212">
                  <c:v>1.141856868993794</c:v>
                </c:pt>
                <c:pt idx="213">
                  <c:v>1.581334766556318</c:v>
                </c:pt>
                <c:pt idx="214">
                  <c:v>0.52473140336442237</c:v>
                </c:pt>
                <c:pt idx="215">
                  <c:v>-0.34820615590133758</c:v>
                </c:pt>
                <c:pt idx="216">
                  <c:v>-0.74235029519999696</c:v>
                </c:pt>
                <c:pt idx="217">
                  <c:v>-0.4984202376431548</c:v>
                </c:pt>
                <c:pt idx="218">
                  <c:v>-1.0481292258609549</c:v>
                </c:pt>
                <c:pt idx="219">
                  <c:v>-1.071410424415205</c:v>
                </c:pt>
                <c:pt idx="220">
                  <c:v>0.46293171333468608</c:v>
                </c:pt>
                <c:pt idx="221">
                  <c:v>0.71433221377411038</c:v>
                </c:pt>
                <c:pt idx="222">
                  <c:v>1.0883085543700539</c:v>
                </c:pt>
                <c:pt idx="223">
                  <c:v>0.128513342057226</c:v>
                </c:pt>
                <c:pt idx="224">
                  <c:v>0.49339887913458402</c:v>
                </c:pt>
                <c:pt idx="225">
                  <c:v>0.71779011939347526</c:v>
                </c:pt>
                <c:pt idx="226">
                  <c:v>-0.57492924847336957</c:v>
                </c:pt>
                <c:pt idx="227">
                  <c:v>-1.6666054718810159</c:v>
                </c:pt>
                <c:pt idx="228">
                  <c:v>-1.0941172581471621</c:v>
                </c:pt>
                <c:pt idx="229">
                  <c:v>4.8134297494448891E-2</c:v>
                </c:pt>
                <c:pt idx="230">
                  <c:v>-0.1460733263434455</c:v>
                </c:pt>
                <c:pt idx="231">
                  <c:v>0.13107697020886069</c:v>
                </c:pt>
                <c:pt idx="232">
                  <c:v>0.96017088427591457</c:v>
                </c:pt>
                <c:pt idx="233">
                  <c:v>1.320736446773991</c:v>
                </c:pt>
                <c:pt idx="234">
                  <c:v>1.016574070157543</c:v>
                </c:pt>
                <c:pt idx="235">
                  <c:v>-0.37321619553640251</c:v>
                </c:pt>
                <c:pt idx="236">
                  <c:v>-0.99281376962398915</c:v>
                </c:pt>
                <c:pt idx="237">
                  <c:v>-0.41376565334126308</c:v>
                </c:pt>
                <c:pt idx="238">
                  <c:v>-1.083413809248819</c:v>
                </c:pt>
                <c:pt idx="239">
                  <c:v>-0.91729858533323583</c:v>
                </c:pt>
                <c:pt idx="240">
                  <c:v>-0.15850414768656759</c:v>
                </c:pt>
                <c:pt idx="241">
                  <c:v>1.064837963999091</c:v>
                </c:pt>
                <c:pt idx="242">
                  <c:v>1.0520539720912441</c:v>
                </c:pt>
                <c:pt idx="243">
                  <c:v>0.62420755512917636</c:v>
                </c:pt>
                <c:pt idx="244">
                  <c:v>0.3477259708813073</c:v>
                </c:pt>
                <c:pt idx="245">
                  <c:v>0.433099752831827</c:v>
                </c:pt>
                <c:pt idx="246">
                  <c:v>-0.68277431452464443</c:v>
                </c:pt>
                <c:pt idx="247">
                  <c:v>-1.5817223628098931</c:v>
                </c:pt>
                <c:pt idx="248">
                  <c:v>-0.5979656682389507</c:v>
                </c:pt>
                <c:pt idx="249">
                  <c:v>-6.7889101002840818E-3</c:v>
                </c:pt>
                <c:pt idx="250">
                  <c:v>-0.25217679086698802</c:v>
                </c:pt>
                <c:pt idx="251">
                  <c:v>0.27135764170343207</c:v>
                </c:pt>
                <c:pt idx="252">
                  <c:v>1.375487755697677</c:v>
                </c:pt>
                <c:pt idx="253">
                  <c:v>1.657549568405388</c:v>
                </c:pt>
                <c:pt idx="254">
                  <c:v>0.28391125910168358</c:v>
                </c:pt>
                <c:pt idx="255">
                  <c:v>-0.5968468145732404</c:v>
                </c:pt>
                <c:pt idx="256">
                  <c:v>-0.33440302245515141</c:v>
                </c:pt>
                <c:pt idx="257">
                  <c:v>-0.59259040941890895</c:v>
                </c:pt>
                <c:pt idx="258">
                  <c:v>-0.86229263066589446</c:v>
                </c:pt>
                <c:pt idx="259">
                  <c:v>-0.93285844160660225</c:v>
                </c:pt>
                <c:pt idx="260">
                  <c:v>-0.18538609431562739</c:v>
                </c:pt>
                <c:pt idx="261">
                  <c:v>1.0758801810800991</c:v>
                </c:pt>
                <c:pt idx="262">
                  <c:v>0.30280304828133042</c:v>
                </c:pt>
                <c:pt idx="263">
                  <c:v>0.24617898802829871</c:v>
                </c:pt>
                <c:pt idx="264">
                  <c:v>0.53727162201384526</c:v>
                </c:pt>
                <c:pt idx="265">
                  <c:v>0.25044336360703301</c:v>
                </c:pt>
                <c:pt idx="266">
                  <c:v>-0.26130299150614023</c:v>
                </c:pt>
                <c:pt idx="267">
                  <c:v>-1.7370847918872809</c:v>
                </c:pt>
                <c:pt idx="268">
                  <c:v>-1.0390654136345689</c:v>
                </c:pt>
                <c:pt idx="269">
                  <c:v>-6.1637136835268912E-2</c:v>
                </c:pt>
                <c:pt idx="270">
                  <c:v>0.28825465781322662</c:v>
                </c:pt>
                <c:pt idx="271">
                  <c:v>-0.19938717794342289</c:v>
                </c:pt>
                <c:pt idx="272">
                  <c:v>1.1836892667261489</c:v>
                </c:pt>
                <c:pt idx="273">
                  <c:v>1.4531031284990721</c:v>
                </c:pt>
                <c:pt idx="274">
                  <c:v>0.39148352208288217</c:v>
                </c:pt>
                <c:pt idx="275">
                  <c:v>-0.40757930514734969</c:v>
                </c:pt>
                <c:pt idx="276">
                  <c:v>-0.54797331317778997</c:v>
                </c:pt>
                <c:pt idx="277">
                  <c:v>-0.57109989172690723</c:v>
                </c:pt>
                <c:pt idx="278">
                  <c:v>-0.93709609929714377</c:v>
                </c:pt>
                <c:pt idx="279">
                  <c:v>-1.164847971664833</c:v>
                </c:pt>
                <c:pt idx="280">
                  <c:v>2.2703469050227069E-2</c:v>
                </c:pt>
                <c:pt idx="281">
                  <c:v>1.22021138719668</c:v>
                </c:pt>
                <c:pt idx="282">
                  <c:v>1.268259879524245</c:v>
                </c:pt>
                <c:pt idx="283">
                  <c:v>0.20349341652978259</c:v>
                </c:pt>
                <c:pt idx="284">
                  <c:v>1.014391927223746</c:v>
                </c:pt>
                <c:pt idx="285">
                  <c:v>0.10958244009551719</c:v>
                </c:pt>
                <c:pt idx="286">
                  <c:v>-0.61814227129957489</c:v>
                </c:pt>
                <c:pt idx="287">
                  <c:v>-1.333393074998235</c:v>
                </c:pt>
                <c:pt idx="288">
                  <c:v>-0.894858142748158</c:v>
                </c:pt>
                <c:pt idx="289">
                  <c:v>-0.21232515625659479</c:v>
                </c:pt>
                <c:pt idx="290">
                  <c:v>-4.1624450071440833E-2</c:v>
                </c:pt>
                <c:pt idx="291">
                  <c:v>-1.081493463929049E-2</c:v>
                </c:pt>
                <c:pt idx="292">
                  <c:v>0.83318356490629375</c:v>
                </c:pt>
                <c:pt idx="293">
                  <c:v>1.620976935699364</c:v>
                </c:pt>
                <c:pt idx="294">
                  <c:v>0.65918834948549065</c:v>
                </c:pt>
                <c:pt idx="295">
                  <c:v>-0.63858191905212003</c:v>
                </c:pt>
                <c:pt idx="296">
                  <c:v>-0.40786527720581911</c:v>
                </c:pt>
                <c:pt idx="297">
                  <c:v>-0.38959661211983071</c:v>
                </c:pt>
                <c:pt idx="298">
                  <c:v>-0.7884840925273543</c:v>
                </c:pt>
                <c:pt idx="299">
                  <c:v>-0.961859483907748</c:v>
                </c:pt>
                <c:pt idx="300">
                  <c:v>-0.16579900218444879</c:v>
                </c:pt>
                <c:pt idx="301">
                  <c:v>0.97574904425306452</c:v>
                </c:pt>
                <c:pt idx="302">
                  <c:v>1.100515237319819</c:v>
                </c:pt>
                <c:pt idx="303">
                  <c:v>0.57313056938185003</c:v>
                </c:pt>
                <c:pt idx="304">
                  <c:v>0.58360493349962594</c:v>
                </c:pt>
                <c:pt idx="305">
                  <c:v>0.52346547666176024</c:v>
                </c:pt>
                <c:pt idx="306">
                  <c:v>-0.33225227313478739</c:v>
                </c:pt>
                <c:pt idx="307">
                  <c:v>-1.5693707940623201</c:v>
                </c:pt>
                <c:pt idx="308">
                  <c:v>-0.84163704006114981</c:v>
                </c:pt>
                <c:pt idx="309">
                  <c:v>-0.1282237827792668</c:v>
                </c:pt>
                <c:pt idx="310">
                  <c:v>-4.3536240645447491E-2</c:v>
                </c:pt>
                <c:pt idx="311">
                  <c:v>0.30754062268990218</c:v>
                </c:pt>
                <c:pt idx="312">
                  <c:v>1.11613978609274</c:v>
                </c:pt>
                <c:pt idx="313">
                  <c:v>1.613758443495283</c:v>
                </c:pt>
                <c:pt idx="314">
                  <c:v>0.84888101372336155</c:v>
                </c:pt>
                <c:pt idx="315">
                  <c:v>-0.49579923167345108</c:v>
                </c:pt>
                <c:pt idx="316">
                  <c:v>-0.45139465803346163</c:v>
                </c:pt>
                <c:pt idx="317">
                  <c:v>-0.51310986761383903</c:v>
                </c:pt>
                <c:pt idx="318">
                  <c:v>-0.88622324579746536</c:v>
                </c:pt>
                <c:pt idx="319">
                  <c:v>-1.113813863166019</c:v>
                </c:pt>
                <c:pt idx="320">
                  <c:v>1.9399192998526001E-2</c:v>
                </c:pt>
                <c:pt idx="321">
                  <c:v>1.206816657379852</c:v>
                </c:pt>
                <c:pt idx="322">
                  <c:v>0.78741237964847399</c:v>
                </c:pt>
                <c:pt idx="323">
                  <c:v>0.86953397143224487</c:v>
                </c:pt>
                <c:pt idx="324">
                  <c:v>0.38658177599250709</c:v>
                </c:pt>
                <c:pt idx="325">
                  <c:v>0.25716227744247211</c:v>
                </c:pt>
                <c:pt idx="326">
                  <c:v>-0.35616307759242138</c:v>
                </c:pt>
                <c:pt idx="327">
                  <c:v>-1.292723977502563</c:v>
                </c:pt>
                <c:pt idx="328">
                  <c:v>-0.82623255288475639</c:v>
                </c:pt>
                <c:pt idx="329">
                  <c:v>3.7883849560379129E-2</c:v>
                </c:pt>
                <c:pt idx="330">
                  <c:v>-2.449354569347154E-3</c:v>
                </c:pt>
                <c:pt idx="331">
                  <c:v>-9.1665622004691028E-2</c:v>
                </c:pt>
                <c:pt idx="332">
                  <c:v>0.96621742793390653</c:v>
                </c:pt>
                <c:pt idx="333">
                  <c:v>1.315624173992737</c:v>
                </c:pt>
                <c:pt idx="334">
                  <c:v>0.78280919897602641</c:v>
                </c:pt>
                <c:pt idx="335">
                  <c:v>-0.52941147630041585</c:v>
                </c:pt>
                <c:pt idx="336">
                  <c:v>-0.75288469165096494</c:v>
                </c:pt>
                <c:pt idx="337">
                  <c:v>-0.5153336846257508</c:v>
                </c:pt>
                <c:pt idx="338">
                  <c:v>-0.86847022544002761</c:v>
                </c:pt>
                <c:pt idx="339">
                  <c:v>-1.2005301628532661</c:v>
                </c:pt>
                <c:pt idx="340">
                  <c:v>-0.16444407911328729</c:v>
                </c:pt>
                <c:pt idx="341">
                  <c:v>1.13652269459084</c:v>
                </c:pt>
                <c:pt idx="342">
                  <c:v>1.000049830516905</c:v>
                </c:pt>
                <c:pt idx="343">
                  <c:v>0.3496678812209314</c:v>
                </c:pt>
                <c:pt idx="344">
                  <c:v>0.49357759116879768</c:v>
                </c:pt>
                <c:pt idx="345">
                  <c:v>0.54640998747153213</c:v>
                </c:pt>
                <c:pt idx="346">
                  <c:v>-0.8774021205919138</c:v>
                </c:pt>
                <c:pt idx="347">
                  <c:v>-1.7325492711704651</c:v>
                </c:pt>
                <c:pt idx="348">
                  <c:v>-1.0947453605456761</c:v>
                </c:pt>
                <c:pt idx="349">
                  <c:v>-0.1304746826348582</c:v>
                </c:pt>
                <c:pt idx="350">
                  <c:v>6.2181513119619052E-2</c:v>
                </c:pt>
                <c:pt idx="351">
                  <c:v>0.38285649568237379</c:v>
                </c:pt>
                <c:pt idx="352">
                  <c:v>1.122588440935516</c:v>
                </c:pt>
                <c:pt idx="353">
                  <c:v>1.41906881030247</c:v>
                </c:pt>
                <c:pt idx="354">
                  <c:v>0.58398201071192435</c:v>
                </c:pt>
                <c:pt idx="355">
                  <c:v>-0.70050587292756372</c:v>
                </c:pt>
                <c:pt idx="356">
                  <c:v>-0.59148787949094872</c:v>
                </c:pt>
                <c:pt idx="357">
                  <c:v>-0.50878824407917522</c:v>
                </c:pt>
                <c:pt idx="358">
                  <c:v>-0.88651280422754208</c:v>
                </c:pt>
                <c:pt idx="359">
                  <c:v>-1.2532314410029479</c:v>
                </c:pt>
                <c:pt idx="360">
                  <c:v>0.1038693028482217</c:v>
                </c:pt>
                <c:pt idx="361">
                  <c:v>1.3943330348929841</c:v>
                </c:pt>
                <c:pt idx="362">
                  <c:v>0.92930448660379072</c:v>
                </c:pt>
                <c:pt idx="363">
                  <c:v>0.53139886071494136</c:v>
                </c:pt>
                <c:pt idx="364">
                  <c:v>0.72581405063469961</c:v>
                </c:pt>
                <c:pt idx="365">
                  <c:v>0.41975590562285231</c:v>
                </c:pt>
                <c:pt idx="366">
                  <c:v>-0.5429667559303567</c:v>
                </c:pt>
                <c:pt idx="367">
                  <c:v>-1.448538036138791</c:v>
                </c:pt>
                <c:pt idx="368">
                  <c:v>-0.93152129658541538</c:v>
                </c:pt>
                <c:pt idx="369">
                  <c:v>-0.24238720906357089</c:v>
                </c:pt>
                <c:pt idx="370">
                  <c:v>4.9020348518174538E-3</c:v>
                </c:pt>
                <c:pt idx="371">
                  <c:v>0.18738491054156439</c:v>
                </c:pt>
                <c:pt idx="372">
                  <c:v>1.241285237854127</c:v>
                </c:pt>
                <c:pt idx="373">
                  <c:v>1.642910681512201</c:v>
                </c:pt>
                <c:pt idx="374">
                  <c:v>1.018421743794782</c:v>
                </c:pt>
                <c:pt idx="375">
                  <c:v>-0.65346951257759711</c:v>
                </c:pt>
                <c:pt idx="376">
                  <c:v>-0.4133211249483203</c:v>
                </c:pt>
                <c:pt idx="377">
                  <c:v>-0.41438811514748158</c:v>
                </c:pt>
                <c:pt idx="378">
                  <c:v>-0.51309592965162421</c:v>
                </c:pt>
                <c:pt idx="379">
                  <c:v>-1.2494449093635021</c:v>
                </c:pt>
                <c:pt idx="380">
                  <c:v>-0.16794436843617969</c:v>
                </c:pt>
                <c:pt idx="381">
                  <c:v>0.96790672320365245</c:v>
                </c:pt>
                <c:pt idx="382">
                  <c:v>0.52627737143319342</c:v>
                </c:pt>
                <c:pt idx="383">
                  <c:v>0.34590551195900537</c:v>
                </c:pt>
                <c:pt idx="384">
                  <c:v>0.4359587199817293</c:v>
                </c:pt>
                <c:pt idx="385">
                  <c:v>0.53007875729524734</c:v>
                </c:pt>
                <c:pt idx="386">
                  <c:v>-0.51943405713702229</c:v>
                </c:pt>
                <c:pt idx="387">
                  <c:v>-1.0758223484519771</c:v>
                </c:pt>
                <c:pt idx="388">
                  <c:v>-0.76097174865796458</c:v>
                </c:pt>
                <c:pt idx="389">
                  <c:v>-0.20316598342497019</c:v>
                </c:pt>
                <c:pt idx="390">
                  <c:v>-0.17968293426966031</c:v>
                </c:pt>
                <c:pt idx="391">
                  <c:v>0.18616908659376369</c:v>
                </c:pt>
                <c:pt idx="392">
                  <c:v>0.68700987489098897</c:v>
                </c:pt>
                <c:pt idx="393">
                  <c:v>1.8173482694660259</c:v>
                </c:pt>
                <c:pt idx="394">
                  <c:v>0.82367327643677135</c:v>
                </c:pt>
                <c:pt idx="395">
                  <c:v>-0.59383513042094183</c:v>
                </c:pt>
                <c:pt idx="396">
                  <c:v>-0.93041215811061662</c:v>
                </c:pt>
                <c:pt idx="397">
                  <c:v>-0.18028204146206481</c:v>
                </c:pt>
                <c:pt idx="398">
                  <c:v>-0.97396448534568969</c:v>
                </c:pt>
                <c:pt idx="399">
                  <c:v>-0.8402219898977914</c:v>
                </c:pt>
                <c:pt idx="400">
                  <c:v>-0.31888553175888129</c:v>
                </c:pt>
                <c:pt idx="401">
                  <c:v>0.96791024770171341</c:v>
                </c:pt>
                <c:pt idx="402">
                  <c:v>0.95210525623879283</c:v>
                </c:pt>
                <c:pt idx="403">
                  <c:v>0.46045263504810169</c:v>
                </c:pt>
                <c:pt idx="404">
                  <c:v>0.49777215799661212</c:v>
                </c:pt>
                <c:pt idx="405">
                  <c:v>0.62456998646952033</c:v>
                </c:pt>
                <c:pt idx="406">
                  <c:v>-0.80130933816896399</c:v>
                </c:pt>
                <c:pt idx="407">
                  <c:v>-1.4795324132994081</c:v>
                </c:pt>
                <c:pt idx="408">
                  <c:v>-0.92699738995280534</c:v>
                </c:pt>
                <c:pt idx="409">
                  <c:v>1.5102514519271351E-2</c:v>
                </c:pt>
                <c:pt idx="410">
                  <c:v>0.1423229756177716</c:v>
                </c:pt>
                <c:pt idx="411">
                  <c:v>-0.13714316607510019</c:v>
                </c:pt>
                <c:pt idx="412">
                  <c:v>0.64423368214799126</c:v>
                </c:pt>
                <c:pt idx="413">
                  <c:v>1.706591880674853</c:v>
                </c:pt>
                <c:pt idx="414">
                  <c:v>0.65424805468844116</c:v>
                </c:pt>
                <c:pt idx="415">
                  <c:v>-0.64969730731132536</c:v>
                </c:pt>
                <c:pt idx="416">
                  <c:v>-0.27755485718794459</c:v>
                </c:pt>
                <c:pt idx="417">
                  <c:v>-0.4279215894365711</c:v>
                </c:pt>
                <c:pt idx="418">
                  <c:v>-0.71519707948239952</c:v>
                </c:pt>
                <c:pt idx="419">
                  <c:v>-1.0742815560104739</c:v>
                </c:pt>
                <c:pt idx="420">
                  <c:v>0.41214958497640619</c:v>
                </c:pt>
                <c:pt idx="421">
                  <c:v>1.438853420781097</c:v>
                </c:pt>
                <c:pt idx="422">
                  <c:v>0.90126368659934275</c:v>
                </c:pt>
                <c:pt idx="423">
                  <c:v>0.64537070648602901</c:v>
                </c:pt>
                <c:pt idx="424">
                  <c:v>0.71686044220948208</c:v>
                </c:pt>
                <c:pt idx="425">
                  <c:v>0.77372631150647653</c:v>
                </c:pt>
                <c:pt idx="426">
                  <c:v>-0.78076994440845715</c:v>
                </c:pt>
                <c:pt idx="427">
                  <c:v>-1.313846224295466</c:v>
                </c:pt>
                <c:pt idx="428">
                  <c:v>-0.73937161892526027</c:v>
                </c:pt>
                <c:pt idx="429">
                  <c:v>-0.43953314957709022</c:v>
                </c:pt>
                <c:pt idx="430">
                  <c:v>-0.2366517025331506</c:v>
                </c:pt>
                <c:pt idx="431">
                  <c:v>-0.32006118325953542</c:v>
                </c:pt>
                <c:pt idx="432">
                  <c:v>0.89717514940621135</c:v>
                </c:pt>
                <c:pt idx="433">
                  <c:v>1.5945649674543569</c:v>
                </c:pt>
                <c:pt idx="434">
                  <c:v>0.88825666271171455</c:v>
                </c:pt>
                <c:pt idx="435">
                  <c:v>-0.48518104391601652</c:v>
                </c:pt>
                <c:pt idx="436">
                  <c:v>-0.26206214317825582</c:v>
                </c:pt>
                <c:pt idx="437">
                  <c:v>-0.72707680793812535</c:v>
                </c:pt>
                <c:pt idx="438">
                  <c:v>-1.291733004166195</c:v>
                </c:pt>
                <c:pt idx="439">
                  <c:v>-1.098894792071808</c:v>
                </c:pt>
                <c:pt idx="440">
                  <c:v>7.6813089787830108E-2</c:v>
                </c:pt>
                <c:pt idx="441">
                  <c:v>1.081246302673649</c:v>
                </c:pt>
                <c:pt idx="442">
                  <c:v>0.53756809628716584</c:v>
                </c:pt>
                <c:pt idx="443">
                  <c:v>0.43323250839259603</c:v>
                </c:pt>
                <c:pt idx="444">
                  <c:v>0.32689135219151988</c:v>
                </c:pt>
                <c:pt idx="445">
                  <c:v>0.63393450976600085</c:v>
                </c:pt>
                <c:pt idx="446">
                  <c:v>-0.51446560307308065</c:v>
                </c:pt>
                <c:pt idx="447">
                  <c:v>-1.639032473560629</c:v>
                </c:pt>
                <c:pt idx="448">
                  <c:v>-1.05382989976251</c:v>
                </c:pt>
                <c:pt idx="449">
                  <c:v>-0.29962795667029252</c:v>
                </c:pt>
                <c:pt idx="450">
                  <c:v>-1.253581945461919E-2</c:v>
                </c:pt>
                <c:pt idx="451">
                  <c:v>0.27881371639269747</c:v>
                </c:pt>
                <c:pt idx="452">
                  <c:v>0.75391130702802123</c:v>
                </c:pt>
                <c:pt idx="453">
                  <c:v>1.5518658193987289</c:v>
                </c:pt>
                <c:pt idx="454">
                  <c:v>0.48173372861800662</c:v>
                </c:pt>
                <c:pt idx="455">
                  <c:v>-0.65857456645245405</c:v>
                </c:pt>
                <c:pt idx="456">
                  <c:v>-0.60919132428343403</c:v>
                </c:pt>
                <c:pt idx="457">
                  <c:v>-0.65810498077902602</c:v>
                </c:pt>
                <c:pt idx="458">
                  <c:v>-1.0617863773645591</c:v>
                </c:pt>
                <c:pt idx="459">
                  <c:v>-1.3273608308102429</c:v>
                </c:pt>
                <c:pt idx="460">
                  <c:v>0.39294502658326319</c:v>
                </c:pt>
                <c:pt idx="461">
                  <c:v>1.0948379626868241</c:v>
                </c:pt>
                <c:pt idx="462">
                  <c:v>0.81111141469662529</c:v>
                </c:pt>
                <c:pt idx="463">
                  <c:v>0.49385249844199391</c:v>
                </c:pt>
                <c:pt idx="464">
                  <c:v>0.56531964235431642</c:v>
                </c:pt>
                <c:pt idx="465">
                  <c:v>0.45580608009339157</c:v>
                </c:pt>
                <c:pt idx="466">
                  <c:v>-0.46495191228377919</c:v>
                </c:pt>
                <c:pt idx="467">
                  <c:v>-1.299554974285684</c:v>
                </c:pt>
                <c:pt idx="468">
                  <c:v>-1.057156745817269</c:v>
                </c:pt>
                <c:pt idx="469">
                  <c:v>-0.2029489004214271</c:v>
                </c:pt>
                <c:pt idx="470">
                  <c:v>-5.5010339430302833E-2</c:v>
                </c:pt>
                <c:pt idx="471">
                  <c:v>-0.37259898065465602</c:v>
                </c:pt>
                <c:pt idx="472">
                  <c:v>0.64801830385540926</c:v>
                </c:pt>
                <c:pt idx="473">
                  <c:v>1.724431369784061</c:v>
                </c:pt>
                <c:pt idx="474">
                  <c:v>0.91677879499278347</c:v>
                </c:pt>
                <c:pt idx="475">
                  <c:v>-0.54980720791127469</c:v>
                </c:pt>
                <c:pt idx="476">
                  <c:v>-0.47247385968133121</c:v>
                </c:pt>
                <c:pt idx="477">
                  <c:v>-0.38880648538644819</c:v>
                </c:pt>
                <c:pt idx="478">
                  <c:v>-0.33528035460407413</c:v>
                </c:pt>
                <c:pt idx="479">
                  <c:v>-0.86387027000554717</c:v>
                </c:pt>
                <c:pt idx="480">
                  <c:v>-2.5583518296208179E-2</c:v>
                </c:pt>
                <c:pt idx="481">
                  <c:v>0.89667716417235821</c:v>
                </c:pt>
                <c:pt idx="482">
                  <c:v>0.62976725224362928</c:v>
                </c:pt>
                <c:pt idx="483">
                  <c:v>0.49174924346860738</c:v>
                </c:pt>
                <c:pt idx="484">
                  <c:v>0.4365151032356136</c:v>
                </c:pt>
                <c:pt idx="485">
                  <c:v>0.21554925808048761</c:v>
                </c:pt>
                <c:pt idx="486">
                  <c:v>-0.71709982914098369</c:v>
                </c:pt>
                <c:pt idx="487">
                  <c:v>-1.6673661170180281</c:v>
                </c:pt>
                <c:pt idx="488">
                  <c:v>-0.61362818928064344</c:v>
                </c:pt>
                <c:pt idx="489">
                  <c:v>8.8542699097410082E-2</c:v>
                </c:pt>
                <c:pt idx="490">
                  <c:v>-1.594528263343567E-3</c:v>
                </c:pt>
                <c:pt idx="491">
                  <c:v>0.38377408007047731</c:v>
                </c:pt>
                <c:pt idx="492">
                  <c:v>0.96653017782465045</c:v>
                </c:pt>
                <c:pt idx="493">
                  <c:v>1.2787996760294991</c:v>
                </c:pt>
                <c:pt idx="494">
                  <c:v>0.89241006774644416</c:v>
                </c:pt>
                <c:pt idx="495">
                  <c:v>-0.39221799126308088</c:v>
                </c:pt>
                <c:pt idx="496">
                  <c:v>-0.795234483157784</c:v>
                </c:pt>
                <c:pt idx="497">
                  <c:v>-0.48912425191186382</c:v>
                </c:pt>
                <c:pt idx="498">
                  <c:v>-1.1261801669720719</c:v>
                </c:pt>
                <c:pt idx="499">
                  <c:v>-1.364345198485365</c:v>
                </c:pt>
                <c:pt idx="500">
                  <c:v>0.18523550950629011</c:v>
                </c:pt>
                <c:pt idx="501">
                  <c:v>1.4696685803864811</c:v>
                </c:pt>
                <c:pt idx="502">
                  <c:v>0.67134300153131665</c:v>
                </c:pt>
                <c:pt idx="503">
                  <c:v>0.56365036363327281</c:v>
                </c:pt>
                <c:pt idx="504">
                  <c:v>0.45765673846814658</c:v>
                </c:pt>
                <c:pt idx="505">
                  <c:v>0.40257492324706962</c:v>
                </c:pt>
                <c:pt idx="506">
                  <c:v>-0.70626403714022012</c:v>
                </c:pt>
                <c:pt idx="507">
                  <c:v>-1.6238546702311161</c:v>
                </c:pt>
                <c:pt idx="508">
                  <c:v>-0.94135219070620135</c:v>
                </c:pt>
                <c:pt idx="509">
                  <c:v>-0.25397527557467642</c:v>
                </c:pt>
                <c:pt idx="510">
                  <c:v>5.4091365155958457E-2</c:v>
                </c:pt>
                <c:pt idx="511">
                  <c:v>7.7737630402655855E-2</c:v>
                </c:pt>
                <c:pt idx="512">
                  <c:v>0.90326690692185208</c:v>
                </c:pt>
                <c:pt idx="513">
                  <c:v>1.269543783886846</c:v>
                </c:pt>
                <c:pt idx="514">
                  <c:v>0.47243098617883211</c:v>
                </c:pt>
                <c:pt idx="515">
                  <c:v>-0.34892175483481841</c:v>
                </c:pt>
                <c:pt idx="516">
                  <c:v>-0.48760181476762471</c:v>
                </c:pt>
                <c:pt idx="517">
                  <c:v>-0.64656756525485659</c:v>
                </c:pt>
                <c:pt idx="518">
                  <c:v>-0.93119005520927378</c:v>
                </c:pt>
                <c:pt idx="519">
                  <c:v>-0.93750782761812845</c:v>
                </c:pt>
                <c:pt idx="520">
                  <c:v>-0.33388105622429592</c:v>
                </c:pt>
                <c:pt idx="521">
                  <c:v>1.196457290768453</c:v>
                </c:pt>
                <c:pt idx="522">
                  <c:v>0.81853176450601628</c:v>
                </c:pt>
                <c:pt idx="523">
                  <c:v>0.56517625001378613</c:v>
                </c:pt>
                <c:pt idx="524">
                  <c:v>0.43513342098400037</c:v>
                </c:pt>
                <c:pt idx="525">
                  <c:v>0.13902357986709121</c:v>
                </c:pt>
                <c:pt idx="526">
                  <c:v>-0.9132937398690929</c:v>
                </c:pt>
                <c:pt idx="527">
                  <c:v>-1.441439526962881</c:v>
                </c:pt>
                <c:pt idx="528">
                  <c:v>-0.89911201595086321</c:v>
                </c:pt>
                <c:pt idx="529">
                  <c:v>-0.26864857731338548</c:v>
                </c:pt>
                <c:pt idx="530">
                  <c:v>0.12771849175547631</c:v>
                </c:pt>
                <c:pt idx="531">
                  <c:v>-0.24451876016134369</c:v>
                </c:pt>
                <c:pt idx="532">
                  <c:v>0.93784055656567789</c:v>
                </c:pt>
                <c:pt idx="533">
                  <c:v>1.2088532763426689</c:v>
                </c:pt>
                <c:pt idx="534">
                  <c:v>0.45741803073205273</c:v>
                </c:pt>
                <c:pt idx="535">
                  <c:v>-0.49052026573670049</c:v>
                </c:pt>
                <c:pt idx="536">
                  <c:v>-0.75986792534925351</c:v>
                </c:pt>
                <c:pt idx="537">
                  <c:v>-0.52796762514111584</c:v>
                </c:pt>
                <c:pt idx="538">
                  <c:v>-0.74979795445224717</c:v>
                </c:pt>
                <c:pt idx="539">
                  <c:v>-1.203163626197105</c:v>
                </c:pt>
                <c:pt idx="540">
                  <c:v>0.16713842241296659</c:v>
                </c:pt>
                <c:pt idx="541">
                  <c:v>0.86184388136095302</c:v>
                </c:pt>
                <c:pt idx="542">
                  <c:v>1.057017351878244</c:v>
                </c:pt>
                <c:pt idx="543">
                  <c:v>0.73937024042673016</c:v>
                </c:pt>
                <c:pt idx="544">
                  <c:v>9.3456352267037801E-2</c:v>
                </c:pt>
                <c:pt idx="545">
                  <c:v>0.34062094890594291</c:v>
                </c:pt>
                <c:pt idx="546">
                  <c:v>-0.47237082685636628</c:v>
                </c:pt>
                <c:pt idx="547">
                  <c:v>-1.4916655935037419</c:v>
                </c:pt>
                <c:pt idx="548">
                  <c:v>-0.87682734162089049</c:v>
                </c:pt>
                <c:pt idx="549">
                  <c:v>-0.20858228963565681</c:v>
                </c:pt>
                <c:pt idx="550">
                  <c:v>1.731795749459223E-2</c:v>
                </c:pt>
                <c:pt idx="551">
                  <c:v>5.664980521404353E-2</c:v>
                </c:pt>
                <c:pt idx="552">
                  <c:v>1.1846129286271101</c:v>
                </c:pt>
                <c:pt idx="553">
                  <c:v>1.5019406849553989</c:v>
                </c:pt>
                <c:pt idx="554">
                  <c:v>0.65530578470755696</c:v>
                </c:pt>
                <c:pt idx="555">
                  <c:v>-0.5823753932244905</c:v>
                </c:pt>
                <c:pt idx="556">
                  <c:v>-0.68530649710696989</c:v>
                </c:pt>
                <c:pt idx="557">
                  <c:v>-0.53756815385907908</c:v>
                </c:pt>
                <c:pt idx="558">
                  <c:v>-0.87216608781947458</c:v>
                </c:pt>
                <c:pt idx="559">
                  <c:v>-1.1719821484565169</c:v>
                </c:pt>
                <c:pt idx="560">
                  <c:v>5.795497137923751E-2</c:v>
                </c:pt>
                <c:pt idx="561">
                  <c:v>1.5028654120215299</c:v>
                </c:pt>
                <c:pt idx="562">
                  <c:v>1.125281456981527</c:v>
                </c:pt>
                <c:pt idx="563">
                  <c:v>0.38585180986159512</c:v>
                </c:pt>
                <c:pt idx="564">
                  <c:v>0.82802803672521963</c:v>
                </c:pt>
                <c:pt idx="565">
                  <c:v>0.41838492539571409</c:v>
                </c:pt>
                <c:pt idx="566">
                  <c:v>-0.99541015932805932</c:v>
                </c:pt>
                <c:pt idx="567">
                  <c:v>-1.652673778478629</c:v>
                </c:pt>
                <c:pt idx="568">
                  <c:v>-1.325214900500334</c:v>
                </c:pt>
                <c:pt idx="569">
                  <c:v>-0.15808794910074339</c:v>
                </c:pt>
                <c:pt idx="570">
                  <c:v>3.6836758378765268E-3</c:v>
                </c:pt>
                <c:pt idx="571">
                  <c:v>0.42307271474752711</c:v>
                </c:pt>
                <c:pt idx="572">
                  <c:v>1.0164419910479709</c:v>
                </c:pt>
                <c:pt idx="573">
                  <c:v>1.407236410533379</c:v>
                </c:pt>
                <c:pt idx="574">
                  <c:v>0.75366636852920033</c:v>
                </c:pt>
                <c:pt idx="575">
                  <c:v>-0.94222706180158777</c:v>
                </c:pt>
                <c:pt idx="576">
                  <c:v>-0.54066234067076613</c:v>
                </c:pt>
                <c:pt idx="577">
                  <c:v>-0.29688347751774818</c:v>
                </c:pt>
                <c:pt idx="578">
                  <c:v>-1.2467737654511011</c:v>
                </c:pt>
                <c:pt idx="579">
                  <c:v>-0.85903444365111303</c:v>
                </c:pt>
                <c:pt idx="580">
                  <c:v>6.7699281498854416E-2</c:v>
                </c:pt>
                <c:pt idx="581">
                  <c:v>1.0047276695122931</c:v>
                </c:pt>
                <c:pt idx="582">
                  <c:v>1.077612889516447</c:v>
                </c:pt>
                <c:pt idx="583">
                  <c:v>0.90519508785603842</c:v>
                </c:pt>
                <c:pt idx="584">
                  <c:v>0.62415850330412159</c:v>
                </c:pt>
                <c:pt idx="585">
                  <c:v>0.54964411726007789</c:v>
                </c:pt>
                <c:pt idx="586">
                  <c:v>-0.6796574322004485</c:v>
                </c:pt>
                <c:pt idx="587">
                  <c:v>-1.6210253901881111</c:v>
                </c:pt>
                <c:pt idx="588">
                  <c:v>-0.78498935298630634</c:v>
                </c:pt>
                <c:pt idx="589">
                  <c:v>-0.25900201747424401</c:v>
                </c:pt>
                <c:pt idx="590">
                  <c:v>1.431324744385546E-2</c:v>
                </c:pt>
                <c:pt idx="591">
                  <c:v>-7.7462370605416581E-3</c:v>
                </c:pt>
                <c:pt idx="592">
                  <c:v>1.046852481444424</c:v>
                </c:pt>
                <c:pt idx="593">
                  <c:v>1.517788937352555</c:v>
                </c:pt>
                <c:pt idx="594">
                  <c:v>0.7952932411440683</c:v>
                </c:pt>
                <c:pt idx="595">
                  <c:v>-0.60200327977091694</c:v>
                </c:pt>
                <c:pt idx="596">
                  <c:v>-0.64176023935116167</c:v>
                </c:pt>
                <c:pt idx="597">
                  <c:v>-0.64680925945160728</c:v>
                </c:pt>
                <c:pt idx="598">
                  <c:v>-1.039915168310354</c:v>
                </c:pt>
                <c:pt idx="599">
                  <c:v>-1.0123251536835169</c:v>
                </c:pt>
                <c:pt idx="600">
                  <c:v>0.15139772332900181</c:v>
                </c:pt>
                <c:pt idx="601">
                  <c:v>0.9033521874569389</c:v>
                </c:pt>
                <c:pt idx="602">
                  <c:v>1.1249777003163051</c:v>
                </c:pt>
                <c:pt idx="603">
                  <c:v>0.72218408805614509</c:v>
                </c:pt>
                <c:pt idx="604">
                  <c:v>0.67047223293720037</c:v>
                </c:pt>
                <c:pt idx="605">
                  <c:v>0.87535916251161017</c:v>
                </c:pt>
                <c:pt idx="606">
                  <c:v>-0.74254309211312841</c:v>
                </c:pt>
                <c:pt idx="607">
                  <c:v>-1.69998745695744</c:v>
                </c:pt>
                <c:pt idx="608">
                  <c:v>-1.3068005660760611</c:v>
                </c:pt>
                <c:pt idx="609">
                  <c:v>0.21142361000533119</c:v>
                </c:pt>
                <c:pt idx="610">
                  <c:v>0.1308731312707993</c:v>
                </c:pt>
                <c:pt idx="611">
                  <c:v>7.666831811035564E-2</c:v>
                </c:pt>
                <c:pt idx="612">
                  <c:v>1.007050241559116</c:v>
                </c:pt>
                <c:pt idx="613">
                  <c:v>1.225958706835486</c:v>
                </c:pt>
                <c:pt idx="614">
                  <c:v>1.0769356482158401</c:v>
                </c:pt>
                <c:pt idx="615">
                  <c:v>-0.47415576360493578</c:v>
                </c:pt>
                <c:pt idx="616">
                  <c:v>-0.5659062933715171</c:v>
                </c:pt>
                <c:pt idx="617">
                  <c:v>-0.30590319151541168</c:v>
                </c:pt>
                <c:pt idx="618">
                  <c:v>-0.85485466994780512</c:v>
                </c:pt>
                <c:pt idx="619">
                  <c:v>-1.0430084474366501</c:v>
                </c:pt>
                <c:pt idx="620">
                  <c:v>-0.15809489108911429</c:v>
                </c:pt>
                <c:pt idx="621">
                  <c:v>1.182078923719674</c:v>
                </c:pt>
                <c:pt idx="622">
                  <c:v>1.3274614155901809</c:v>
                </c:pt>
                <c:pt idx="623">
                  <c:v>0.72014052552614627</c:v>
                </c:pt>
                <c:pt idx="624">
                  <c:v>0.90642257762033163</c:v>
                </c:pt>
                <c:pt idx="625">
                  <c:v>0.39775686471380312</c:v>
                </c:pt>
                <c:pt idx="626">
                  <c:v>-0.78570621634414395</c:v>
                </c:pt>
                <c:pt idx="627">
                  <c:v>-1.4762139003150729</c:v>
                </c:pt>
                <c:pt idx="628">
                  <c:v>-0.93991153383745918</c:v>
                </c:pt>
                <c:pt idx="629">
                  <c:v>0.1310530514016954</c:v>
                </c:pt>
                <c:pt idx="630">
                  <c:v>-0.33849292594296537</c:v>
                </c:pt>
                <c:pt idx="631">
                  <c:v>0.39369531618458048</c:v>
                </c:pt>
                <c:pt idx="632">
                  <c:v>0.91945493657934407</c:v>
                </c:pt>
                <c:pt idx="633">
                  <c:v>1.3656803023056729</c:v>
                </c:pt>
                <c:pt idx="634">
                  <c:v>0.38536437724047279</c:v>
                </c:pt>
                <c:pt idx="635">
                  <c:v>-0.83097133437314907</c:v>
                </c:pt>
                <c:pt idx="636">
                  <c:v>-0.42315113550007488</c:v>
                </c:pt>
                <c:pt idx="637">
                  <c:v>-0.4363929228574735</c:v>
                </c:pt>
                <c:pt idx="638">
                  <c:v>-1.2090486962433571</c:v>
                </c:pt>
                <c:pt idx="639">
                  <c:v>-1.346801006705189</c:v>
                </c:pt>
                <c:pt idx="640">
                  <c:v>-6.7156939858060913E-2</c:v>
                </c:pt>
                <c:pt idx="641">
                  <c:v>1.421589557350319</c:v>
                </c:pt>
                <c:pt idx="642">
                  <c:v>0.89913824602245485</c:v>
                </c:pt>
                <c:pt idx="643">
                  <c:v>0.15042792567154281</c:v>
                </c:pt>
                <c:pt idx="644">
                  <c:v>0.53863663947525509</c:v>
                </c:pt>
                <c:pt idx="645">
                  <c:v>0.44545528605049223</c:v>
                </c:pt>
                <c:pt idx="646">
                  <c:v>-1.1271625808807559</c:v>
                </c:pt>
                <c:pt idx="647">
                  <c:v>-1.4619154895987101</c:v>
                </c:pt>
                <c:pt idx="648">
                  <c:v>-0.99724342233692642</c:v>
                </c:pt>
                <c:pt idx="649">
                  <c:v>5.1456020670200497E-2</c:v>
                </c:pt>
                <c:pt idx="650">
                  <c:v>0.36979121898907841</c:v>
                </c:pt>
                <c:pt idx="651">
                  <c:v>0.31309825820202042</c:v>
                </c:pt>
                <c:pt idx="652">
                  <c:v>0.89727877818412616</c:v>
                </c:pt>
                <c:pt idx="653">
                  <c:v>1.229751334546819</c:v>
                </c:pt>
                <c:pt idx="654">
                  <c:v>1.1024572129424639</c:v>
                </c:pt>
                <c:pt idx="655">
                  <c:v>-0.48815631319711111</c:v>
                </c:pt>
                <c:pt idx="656">
                  <c:v>-0.58499939390993361</c:v>
                </c:pt>
                <c:pt idx="657">
                  <c:v>-0.45588153371714157</c:v>
                </c:pt>
                <c:pt idx="658">
                  <c:v>-0.91143956414157412</c:v>
                </c:pt>
                <c:pt idx="659">
                  <c:v>-1.116657334677289</c:v>
                </c:pt>
                <c:pt idx="660">
                  <c:v>-0.1147324013761227</c:v>
                </c:pt>
                <c:pt idx="661">
                  <c:v>0.9784134640443729</c:v>
                </c:pt>
                <c:pt idx="662">
                  <c:v>0.94450586225197763</c:v>
                </c:pt>
                <c:pt idx="663">
                  <c:v>0.34237156206840669</c:v>
                </c:pt>
                <c:pt idx="664">
                  <c:v>0.44521609575710591</c:v>
                </c:pt>
                <c:pt idx="665">
                  <c:v>0.52128604553839208</c:v>
                </c:pt>
                <c:pt idx="666">
                  <c:v>-0.63878069577658092</c:v>
                </c:pt>
                <c:pt idx="667">
                  <c:v>-1.1502579185786139</c:v>
                </c:pt>
                <c:pt idx="668">
                  <c:v>-1.481250477973747</c:v>
                </c:pt>
                <c:pt idx="669">
                  <c:v>0.13051611809202029</c:v>
                </c:pt>
                <c:pt idx="670">
                  <c:v>0.24921703849954591</c:v>
                </c:pt>
                <c:pt idx="671">
                  <c:v>-0.3268927941891499</c:v>
                </c:pt>
                <c:pt idx="672">
                  <c:v>0.88251899747908669</c:v>
                </c:pt>
                <c:pt idx="673">
                  <c:v>1.376768343096008</c:v>
                </c:pt>
                <c:pt idx="674">
                  <c:v>0.30628291334897079</c:v>
                </c:pt>
                <c:pt idx="675">
                  <c:v>-0.65556333751814067</c:v>
                </c:pt>
                <c:pt idx="676">
                  <c:v>-0.80990042138563989</c:v>
                </c:pt>
                <c:pt idx="677">
                  <c:v>-0.10060242761042069</c:v>
                </c:pt>
                <c:pt idx="678">
                  <c:v>-0.76392083766559471</c:v>
                </c:pt>
                <c:pt idx="679">
                  <c:v>-0.83347423329365755</c:v>
                </c:pt>
                <c:pt idx="680">
                  <c:v>0.14433441280864509</c:v>
                </c:pt>
                <c:pt idx="681">
                  <c:v>0.86197489804901661</c:v>
                </c:pt>
                <c:pt idx="682">
                  <c:v>0.84615246303926306</c:v>
                </c:pt>
                <c:pt idx="683">
                  <c:v>0.54893142854073906</c:v>
                </c:pt>
                <c:pt idx="684">
                  <c:v>0.3433596905140846</c:v>
                </c:pt>
                <c:pt idx="685">
                  <c:v>0.64259968603447648</c:v>
                </c:pt>
                <c:pt idx="686">
                  <c:v>-0.63585033192410778</c:v>
                </c:pt>
                <c:pt idx="687">
                  <c:v>-1.526020677805076</c:v>
                </c:pt>
                <c:pt idx="688">
                  <c:v>-0.80886452265449571</c:v>
                </c:pt>
                <c:pt idx="689">
                  <c:v>1.067410004701008E-3</c:v>
                </c:pt>
                <c:pt idx="690">
                  <c:v>-7.2193233163841963E-2</c:v>
                </c:pt>
                <c:pt idx="691">
                  <c:v>0.31965121296529481</c:v>
                </c:pt>
                <c:pt idx="692">
                  <c:v>0.73484385077512715</c:v>
                </c:pt>
                <c:pt idx="693">
                  <c:v>1.574243637684015</c:v>
                </c:pt>
                <c:pt idx="694">
                  <c:v>0.70640550388614087</c:v>
                </c:pt>
                <c:pt idx="695">
                  <c:v>-0.5619092878627775</c:v>
                </c:pt>
                <c:pt idx="696">
                  <c:v>-0.52255864784406958</c:v>
                </c:pt>
                <c:pt idx="697">
                  <c:v>-0.70127923157221006</c:v>
                </c:pt>
                <c:pt idx="698">
                  <c:v>-0.76625111245377986</c:v>
                </c:pt>
                <c:pt idx="699">
                  <c:v>-1.1247656795810761</c:v>
                </c:pt>
                <c:pt idx="700">
                  <c:v>-0.1045446041039069</c:v>
                </c:pt>
                <c:pt idx="701">
                  <c:v>1.2975870974598509</c:v>
                </c:pt>
                <c:pt idx="702">
                  <c:v>0.81018777818661047</c:v>
                </c:pt>
                <c:pt idx="703">
                  <c:v>0.16936425702243929</c:v>
                </c:pt>
                <c:pt idx="704">
                  <c:v>0.27645941758762799</c:v>
                </c:pt>
                <c:pt idx="705">
                  <c:v>0.62120199026917</c:v>
                </c:pt>
                <c:pt idx="706">
                  <c:v>-0.84387112279169463</c:v>
                </c:pt>
                <c:pt idx="707">
                  <c:v>-1.10009767989827</c:v>
                </c:pt>
                <c:pt idx="708">
                  <c:v>-1.3674423978718739</c:v>
                </c:pt>
                <c:pt idx="709">
                  <c:v>0.25150602136551181</c:v>
                </c:pt>
                <c:pt idx="710">
                  <c:v>4.2203493440565343E-2</c:v>
                </c:pt>
                <c:pt idx="711">
                  <c:v>6.8442629918377726E-2</c:v>
                </c:pt>
                <c:pt idx="712">
                  <c:v>0.84207269893338077</c:v>
                </c:pt>
                <c:pt idx="713">
                  <c:v>1.5308837391655721</c:v>
                </c:pt>
                <c:pt idx="714">
                  <c:v>0.58025831180758336</c:v>
                </c:pt>
                <c:pt idx="715">
                  <c:v>-0.27933962359668879</c:v>
                </c:pt>
                <c:pt idx="716">
                  <c:v>-0.56493972256003655</c:v>
                </c:pt>
                <c:pt idx="717">
                  <c:v>-0.42099616400277817</c:v>
                </c:pt>
                <c:pt idx="718">
                  <c:v>-1.0237789587378729</c:v>
                </c:pt>
                <c:pt idx="719">
                  <c:v>-1.0991743770366811</c:v>
                </c:pt>
                <c:pt idx="720">
                  <c:v>6.1560353778386367E-2</c:v>
                </c:pt>
                <c:pt idx="721">
                  <c:v>0.74575157376111356</c:v>
                </c:pt>
                <c:pt idx="722">
                  <c:v>0.68141943187407783</c:v>
                </c:pt>
                <c:pt idx="723">
                  <c:v>0.59970933509970759</c:v>
                </c:pt>
                <c:pt idx="724">
                  <c:v>0.62195833991804572</c:v>
                </c:pt>
                <c:pt idx="725">
                  <c:v>0.46320333272949249</c:v>
                </c:pt>
                <c:pt idx="726">
                  <c:v>-0.58409846567943025</c:v>
                </c:pt>
                <c:pt idx="727">
                  <c:v>-1.3815401752228129</c:v>
                </c:pt>
                <c:pt idx="728">
                  <c:v>-1.05900845235707</c:v>
                </c:pt>
                <c:pt idx="729">
                  <c:v>-0.24344619737294729</c:v>
                </c:pt>
                <c:pt idx="730">
                  <c:v>3.9169051019475057E-2</c:v>
                </c:pt>
                <c:pt idx="731">
                  <c:v>-0.10788930323053909</c:v>
                </c:pt>
                <c:pt idx="732">
                  <c:v>1.0327070674379979</c:v>
                </c:pt>
                <c:pt idx="733">
                  <c:v>1.110539795447586</c:v>
                </c:pt>
                <c:pt idx="734">
                  <c:v>0.7936163797576109</c:v>
                </c:pt>
                <c:pt idx="735">
                  <c:v>-0.40548050351739823</c:v>
                </c:pt>
                <c:pt idx="736">
                  <c:v>-0.53657930542973442</c:v>
                </c:pt>
                <c:pt idx="737">
                  <c:v>-0.25451831950603759</c:v>
                </c:pt>
                <c:pt idx="738">
                  <c:v>-0.61796162740264204</c:v>
                </c:pt>
                <c:pt idx="739">
                  <c:v>-0.88491123928887594</c:v>
                </c:pt>
                <c:pt idx="740">
                  <c:v>-0.36817484626639468</c:v>
                </c:pt>
                <c:pt idx="741">
                  <c:v>0.83186985894530951</c:v>
                </c:pt>
                <c:pt idx="742">
                  <c:v>0.82609280075602909</c:v>
                </c:pt>
                <c:pt idx="743">
                  <c:v>0.45627472633732719</c:v>
                </c:pt>
                <c:pt idx="744">
                  <c:v>0.69131705638621699</c:v>
                </c:pt>
                <c:pt idx="745">
                  <c:v>0.35485123736932139</c:v>
                </c:pt>
                <c:pt idx="746">
                  <c:v>-0.55043189939700432</c:v>
                </c:pt>
                <c:pt idx="747">
                  <c:v>-1.6021331027658161</c:v>
                </c:pt>
                <c:pt idx="748">
                  <c:v>-1.073360076893523</c:v>
                </c:pt>
                <c:pt idx="749">
                  <c:v>-0.36911747166211811</c:v>
                </c:pt>
                <c:pt idx="750">
                  <c:v>-0.1846466492221745</c:v>
                </c:pt>
                <c:pt idx="751">
                  <c:v>-0.1825516688307883</c:v>
                </c:pt>
                <c:pt idx="752">
                  <c:v>0.75588186569970095</c:v>
                </c:pt>
                <c:pt idx="753">
                  <c:v>1.661784875616735</c:v>
                </c:pt>
                <c:pt idx="754">
                  <c:v>0.39790547452613628</c:v>
                </c:pt>
                <c:pt idx="755">
                  <c:v>2.6476412967514459E-2</c:v>
                </c:pt>
                <c:pt idx="756">
                  <c:v>-0.48912167211628299</c:v>
                </c:pt>
                <c:pt idx="757">
                  <c:v>-0.41408929155616991</c:v>
                </c:pt>
                <c:pt idx="758">
                  <c:v>-1.122728072331342</c:v>
                </c:pt>
                <c:pt idx="759">
                  <c:v>-0.94772327641069265</c:v>
                </c:pt>
                <c:pt idx="760">
                  <c:v>-0.1151275652476038</c:v>
                </c:pt>
                <c:pt idx="761">
                  <c:v>1.1121872152215331</c:v>
                </c:pt>
                <c:pt idx="762">
                  <c:v>1.463073423948964</c:v>
                </c:pt>
                <c:pt idx="763">
                  <c:v>0.43184453635022618</c:v>
                </c:pt>
                <c:pt idx="764">
                  <c:v>0.81763991754962217</c:v>
                </c:pt>
                <c:pt idx="765">
                  <c:v>0.35936471497482347</c:v>
                </c:pt>
                <c:pt idx="766">
                  <c:v>-0.59478295039176954</c:v>
                </c:pt>
                <c:pt idx="767">
                  <c:v>-1.096896389168053</c:v>
                </c:pt>
                <c:pt idx="768">
                  <c:v>-1.076449927852736</c:v>
                </c:pt>
                <c:pt idx="769">
                  <c:v>0.27470445930687731</c:v>
                </c:pt>
                <c:pt idx="770">
                  <c:v>0.14155038709105541</c:v>
                </c:pt>
                <c:pt idx="771">
                  <c:v>-2.4708102886409979E-2</c:v>
                </c:pt>
                <c:pt idx="772">
                  <c:v>1.077538064106222</c:v>
                </c:pt>
                <c:pt idx="773">
                  <c:v>1.645567406220509</c:v>
                </c:pt>
                <c:pt idx="774">
                  <c:v>0.7121472447358933</c:v>
                </c:pt>
                <c:pt idx="775">
                  <c:v>-0.8140449439780687</c:v>
                </c:pt>
                <c:pt idx="776">
                  <c:v>-0.73321268745749957</c:v>
                </c:pt>
                <c:pt idx="777">
                  <c:v>-0.5005602434054498</c:v>
                </c:pt>
                <c:pt idx="778">
                  <c:v>-0.9659432021151817</c:v>
                </c:pt>
                <c:pt idx="779">
                  <c:v>-0.9636508327823442</c:v>
                </c:pt>
                <c:pt idx="780">
                  <c:v>3.5540200186561587E-2</c:v>
                </c:pt>
                <c:pt idx="781">
                  <c:v>0.82071638055045182</c:v>
                </c:pt>
                <c:pt idx="782">
                  <c:v>1.027096086496343</c:v>
                </c:pt>
                <c:pt idx="783">
                  <c:v>0.57317366535191661</c:v>
                </c:pt>
                <c:pt idx="784">
                  <c:v>0.69974334187863008</c:v>
                </c:pt>
                <c:pt idx="785">
                  <c:v>0.71615614511096848</c:v>
                </c:pt>
                <c:pt idx="786">
                  <c:v>-0.42100082138266731</c:v>
                </c:pt>
                <c:pt idx="787">
                  <c:v>-1.3592205004494551</c:v>
                </c:pt>
                <c:pt idx="788">
                  <c:v>-0.96508965858696194</c:v>
                </c:pt>
                <c:pt idx="789">
                  <c:v>-0.41997743899569567</c:v>
                </c:pt>
                <c:pt idx="790">
                  <c:v>8.5923643826545118E-2</c:v>
                </c:pt>
                <c:pt idx="791">
                  <c:v>0.12932278972507691</c:v>
                </c:pt>
                <c:pt idx="792">
                  <c:v>1.0053722837342389</c:v>
                </c:pt>
                <c:pt idx="793">
                  <c:v>1.195706801131097</c:v>
                </c:pt>
                <c:pt idx="794">
                  <c:v>0.37157394421089041</c:v>
                </c:pt>
                <c:pt idx="795">
                  <c:v>-0.28936942933341042</c:v>
                </c:pt>
                <c:pt idx="796">
                  <c:v>-0.59569628306376221</c:v>
                </c:pt>
                <c:pt idx="797">
                  <c:v>-0.31475637682062818</c:v>
                </c:pt>
                <c:pt idx="798">
                  <c:v>-0.94539284106902211</c:v>
                </c:pt>
                <c:pt idx="799">
                  <c:v>-1.08183402439332</c:v>
                </c:pt>
                <c:pt idx="800">
                  <c:v>0.1876567611951839</c:v>
                </c:pt>
                <c:pt idx="801">
                  <c:v>0.98457630664896234</c:v>
                </c:pt>
                <c:pt idx="802">
                  <c:v>0.97028067168340459</c:v>
                </c:pt>
                <c:pt idx="803">
                  <c:v>0.3586014585541567</c:v>
                </c:pt>
                <c:pt idx="804">
                  <c:v>0.50088600680600759</c:v>
                </c:pt>
                <c:pt idx="805">
                  <c:v>0.4381655753063024</c:v>
                </c:pt>
                <c:pt idx="806">
                  <c:v>-0.54335849796566271</c:v>
                </c:pt>
                <c:pt idx="807">
                  <c:v>-1.546806240627842</c:v>
                </c:pt>
                <c:pt idx="808">
                  <c:v>-0.69990529118046441</c:v>
                </c:pt>
                <c:pt idx="809">
                  <c:v>-0.26670671273638707</c:v>
                </c:pt>
                <c:pt idx="810">
                  <c:v>-3.73743288322331E-2</c:v>
                </c:pt>
                <c:pt idx="811">
                  <c:v>-1.60959362369234E-4</c:v>
                </c:pt>
                <c:pt idx="812">
                  <c:v>1.2404520931658609</c:v>
                </c:pt>
                <c:pt idx="813">
                  <c:v>1.4903674715974691</c:v>
                </c:pt>
                <c:pt idx="814">
                  <c:v>0.79415416018619889</c:v>
                </c:pt>
                <c:pt idx="815">
                  <c:v>-0.79711207460734235</c:v>
                </c:pt>
                <c:pt idx="816">
                  <c:v>-0.53437519911859843</c:v>
                </c:pt>
                <c:pt idx="817">
                  <c:v>-0.27313035717047002</c:v>
                </c:pt>
                <c:pt idx="818">
                  <c:v>-0.93459971844008494</c:v>
                </c:pt>
                <c:pt idx="819">
                  <c:v>-0.87468917727943352</c:v>
                </c:pt>
                <c:pt idx="820">
                  <c:v>-0.10345769002018711</c:v>
                </c:pt>
                <c:pt idx="821">
                  <c:v>1.36965474032961</c:v>
                </c:pt>
                <c:pt idx="822">
                  <c:v>1.4108361410190029</c:v>
                </c:pt>
                <c:pt idx="823">
                  <c:v>0.37848880420722908</c:v>
                </c:pt>
                <c:pt idx="824">
                  <c:v>0.49868474801229729</c:v>
                </c:pt>
                <c:pt idx="825">
                  <c:v>0.79067689542361363</c:v>
                </c:pt>
                <c:pt idx="826">
                  <c:v>-0.27187082314633371</c:v>
                </c:pt>
                <c:pt idx="827">
                  <c:v>-1.5556285217258039</c:v>
                </c:pt>
                <c:pt idx="828">
                  <c:v>-1.0350938797144069</c:v>
                </c:pt>
                <c:pt idx="829">
                  <c:v>-0.14414217406462271</c:v>
                </c:pt>
                <c:pt idx="830">
                  <c:v>-0.26889010220680593</c:v>
                </c:pt>
                <c:pt idx="831">
                  <c:v>-9.5945137004362802E-2</c:v>
                </c:pt>
                <c:pt idx="832">
                  <c:v>0.75022836294476514</c:v>
                </c:pt>
                <c:pt idx="833">
                  <c:v>1.297497003274342</c:v>
                </c:pt>
                <c:pt idx="834">
                  <c:v>0.58084827481520451</c:v>
                </c:pt>
                <c:pt idx="835">
                  <c:v>-0.45315705349271451</c:v>
                </c:pt>
                <c:pt idx="836">
                  <c:v>-0.27768515372963209</c:v>
                </c:pt>
                <c:pt idx="837">
                  <c:v>-0.65072732444290227</c:v>
                </c:pt>
                <c:pt idx="838">
                  <c:v>-0.75419203659981249</c:v>
                </c:pt>
                <c:pt idx="839">
                  <c:v>-1.130583021137548</c:v>
                </c:pt>
                <c:pt idx="840">
                  <c:v>-9.8927419304689328E-3</c:v>
                </c:pt>
                <c:pt idx="841">
                  <c:v>1.2227491507257799</c:v>
                </c:pt>
                <c:pt idx="842">
                  <c:v>0.72651211198273336</c:v>
                </c:pt>
                <c:pt idx="843">
                  <c:v>0.52753846553198436</c:v>
                </c:pt>
                <c:pt idx="844">
                  <c:v>0.62107569393506556</c:v>
                </c:pt>
                <c:pt idx="845">
                  <c:v>0.59849025280163259</c:v>
                </c:pt>
                <c:pt idx="846">
                  <c:v>-0.52995152351082386</c:v>
                </c:pt>
                <c:pt idx="847">
                  <c:v>-0.95999648831295836</c:v>
                </c:pt>
                <c:pt idx="848">
                  <c:v>-1.0786045131454169</c:v>
                </c:pt>
                <c:pt idx="849">
                  <c:v>-0.19398464329282761</c:v>
                </c:pt>
                <c:pt idx="850">
                  <c:v>-0.1246281052848926</c:v>
                </c:pt>
                <c:pt idx="851">
                  <c:v>-2.3310171539608949E-2</c:v>
                </c:pt>
                <c:pt idx="852">
                  <c:v>0.82357909083380787</c:v>
                </c:pt>
                <c:pt idx="853">
                  <c:v>1.688859822516656</c:v>
                </c:pt>
                <c:pt idx="854">
                  <c:v>0.87188610189041493</c:v>
                </c:pt>
                <c:pt idx="855">
                  <c:v>-0.6141492587498707</c:v>
                </c:pt>
                <c:pt idx="856">
                  <c:v>-0.75425636691331222</c:v>
                </c:pt>
                <c:pt idx="857">
                  <c:v>-0.35677340501784988</c:v>
                </c:pt>
                <c:pt idx="858">
                  <c:v>-1.061501125151362</c:v>
                </c:pt>
                <c:pt idx="859">
                  <c:v>-0.96119888874137915</c:v>
                </c:pt>
                <c:pt idx="860">
                  <c:v>4.0584604170180567E-2</c:v>
                </c:pt>
                <c:pt idx="861">
                  <c:v>0.78463642929297817</c:v>
                </c:pt>
                <c:pt idx="862">
                  <c:v>1.2605575565611671</c:v>
                </c:pt>
                <c:pt idx="863">
                  <c:v>0.81023205091425687</c:v>
                </c:pt>
                <c:pt idx="864">
                  <c:v>0.46522751419555808</c:v>
                </c:pt>
                <c:pt idx="865">
                  <c:v>0.42245968801284911</c:v>
                </c:pt>
                <c:pt idx="866">
                  <c:v>-0.53061217414743134</c:v>
                </c:pt>
                <c:pt idx="867">
                  <c:v>-1.3841651582977541</c:v>
                </c:pt>
                <c:pt idx="868">
                  <c:v>-0.81934766176065521</c:v>
                </c:pt>
                <c:pt idx="869">
                  <c:v>0.31425565546077089</c:v>
                </c:pt>
                <c:pt idx="870">
                  <c:v>-3.5389445498852513E-2</c:v>
                </c:pt>
                <c:pt idx="871">
                  <c:v>-7.1874196615191704E-2</c:v>
                </c:pt>
                <c:pt idx="872">
                  <c:v>0.67519267069217392</c:v>
                </c:pt>
                <c:pt idx="873">
                  <c:v>1.3048705083067751</c:v>
                </c:pt>
                <c:pt idx="874">
                  <c:v>0.58115985771777323</c:v>
                </c:pt>
                <c:pt idx="875">
                  <c:v>-0.1410884272963748</c:v>
                </c:pt>
                <c:pt idx="876">
                  <c:v>-0.6913075120996981</c:v>
                </c:pt>
                <c:pt idx="877">
                  <c:v>-0.40629892596737283</c:v>
                </c:pt>
                <c:pt idx="878">
                  <c:v>-0.95434109550967705</c:v>
                </c:pt>
                <c:pt idx="879">
                  <c:v>-0.85010659760289964</c:v>
                </c:pt>
                <c:pt idx="880">
                  <c:v>0.50538648517466167</c:v>
                </c:pt>
                <c:pt idx="881">
                  <c:v>0.98161149770841738</c:v>
                </c:pt>
                <c:pt idx="882">
                  <c:v>0.85316862779155112</c:v>
                </c:pt>
                <c:pt idx="883">
                  <c:v>0.65988869170898024</c:v>
                </c:pt>
                <c:pt idx="884">
                  <c:v>0.72416355021779233</c:v>
                </c:pt>
                <c:pt idx="885">
                  <c:v>0.86934146514718214</c:v>
                </c:pt>
                <c:pt idx="886">
                  <c:v>-0.47099961522722272</c:v>
                </c:pt>
                <c:pt idx="887">
                  <c:v>-1.5229149344525581</c:v>
                </c:pt>
                <c:pt idx="888">
                  <c:v>-0.8329255501567131</c:v>
                </c:pt>
                <c:pt idx="889">
                  <c:v>0.1339554638240476</c:v>
                </c:pt>
                <c:pt idx="890">
                  <c:v>0.16409643623955461</c:v>
                </c:pt>
                <c:pt idx="891">
                  <c:v>0.18924005851392381</c:v>
                </c:pt>
                <c:pt idx="892">
                  <c:v>1.164391454212957</c:v>
                </c:pt>
                <c:pt idx="893">
                  <c:v>1.684915634384307</c:v>
                </c:pt>
                <c:pt idx="894">
                  <c:v>0.86421705050003506</c:v>
                </c:pt>
                <c:pt idx="895">
                  <c:v>-0.37025802248207429</c:v>
                </c:pt>
                <c:pt idx="896">
                  <c:v>-0.62120886835585365</c:v>
                </c:pt>
                <c:pt idx="897">
                  <c:v>-0.42171377900847451</c:v>
                </c:pt>
                <c:pt idx="898">
                  <c:v>-0.70975472299352838</c:v>
                </c:pt>
                <c:pt idx="899">
                  <c:v>-1.2511723864899069</c:v>
                </c:pt>
                <c:pt idx="900">
                  <c:v>7.3734661774534194E-2</c:v>
                </c:pt>
                <c:pt idx="901">
                  <c:v>1.0091174898269739</c:v>
                </c:pt>
                <c:pt idx="902">
                  <c:v>0.95680548088208606</c:v>
                </c:pt>
                <c:pt idx="903">
                  <c:v>0.70674688881660375</c:v>
                </c:pt>
                <c:pt idx="904">
                  <c:v>0.6260050658963997</c:v>
                </c:pt>
                <c:pt idx="905">
                  <c:v>0.50928730963124835</c:v>
                </c:pt>
                <c:pt idx="906">
                  <c:v>-0.85975648048842424</c:v>
                </c:pt>
                <c:pt idx="907">
                  <c:v>-1.301805803089688</c:v>
                </c:pt>
                <c:pt idx="908">
                  <c:v>-0.82195968006699194</c:v>
                </c:pt>
                <c:pt idx="909">
                  <c:v>0.34486569236861508</c:v>
                </c:pt>
                <c:pt idx="910">
                  <c:v>-6.1555646990621243E-2</c:v>
                </c:pt>
                <c:pt idx="911">
                  <c:v>0.13161531782521699</c:v>
                </c:pt>
                <c:pt idx="912">
                  <c:v>1.000933253037245</c:v>
                </c:pt>
                <c:pt idx="913">
                  <c:v>1.766547172247845</c:v>
                </c:pt>
                <c:pt idx="914">
                  <c:v>0.56872614581511416</c:v>
                </c:pt>
                <c:pt idx="915">
                  <c:v>-0.44419569484589189</c:v>
                </c:pt>
                <c:pt idx="916">
                  <c:v>-0.46620595034919399</c:v>
                </c:pt>
                <c:pt idx="917">
                  <c:v>-0.41373469166388932</c:v>
                </c:pt>
                <c:pt idx="918">
                  <c:v>-1.0403432392052301</c:v>
                </c:pt>
                <c:pt idx="919">
                  <c:v>-1.0489672537128329</c:v>
                </c:pt>
                <c:pt idx="920">
                  <c:v>0.214726349971925</c:v>
                </c:pt>
                <c:pt idx="921">
                  <c:v>0.88248219241019954</c:v>
                </c:pt>
                <c:pt idx="922">
                  <c:v>0.97765045112457338</c:v>
                </c:pt>
                <c:pt idx="923">
                  <c:v>0.31103235330732271</c:v>
                </c:pt>
                <c:pt idx="924">
                  <c:v>0.82679457807748213</c:v>
                </c:pt>
                <c:pt idx="925">
                  <c:v>0.19536261904330679</c:v>
                </c:pt>
                <c:pt idx="926">
                  <c:v>-0.69956962174676129</c:v>
                </c:pt>
                <c:pt idx="927">
                  <c:v>-1.37561414128225</c:v>
                </c:pt>
                <c:pt idx="928">
                  <c:v>-0.63795171044829257</c:v>
                </c:pt>
                <c:pt idx="929">
                  <c:v>-0.1009353045071093</c:v>
                </c:pt>
                <c:pt idx="930">
                  <c:v>-0.11103990533865001</c:v>
                </c:pt>
                <c:pt idx="931">
                  <c:v>0.46401666618060439</c:v>
                </c:pt>
                <c:pt idx="932">
                  <c:v>0.6614537362118913</c:v>
                </c:pt>
                <c:pt idx="933">
                  <c:v>1.0112953249711469</c:v>
                </c:pt>
                <c:pt idx="934">
                  <c:v>0.67578814230326001</c:v>
                </c:pt>
                <c:pt idx="935">
                  <c:v>-0.60041084487055252</c:v>
                </c:pt>
                <c:pt idx="936">
                  <c:v>-0.79203181571864179</c:v>
                </c:pt>
                <c:pt idx="937">
                  <c:v>-0.30938522683527692</c:v>
                </c:pt>
                <c:pt idx="938">
                  <c:v>-0.90229637354084369</c:v>
                </c:pt>
                <c:pt idx="939">
                  <c:v>-1.200600978439875</c:v>
                </c:pt>
                <c:pt idx="940">
                  <c:v>-0.25606087973419162</c:v>
                </c:pt>
                <c:pt idx="941">
                  <c:v>1.2622767179484979</c:v>
                </c:pt>
                <c:pt idx="942">
                  <c:v>1.0810967518868571</c:v>
                </c:pt>
                <c:pt idx="943">
                  <c:v>0.43122134353929409</c:v>
                </c:pt>
                <c:pt idx="944">
                  <c:v>0.95711265150202796</c:v>
                </c:pt>
                <c:pt idx="945">
                  <c:v>0.28598304673476049</c:v>
                </c:pt>
                <c:pt idx="946">
                  <c:v>-0.8928902864774162</c:v>
                </c:pt>
                <c:pt idx="947">
                  <c:v>-1.58943813027139</c:v>
                </c:pt>
                <c:pt idx="948">
                  <c:v>-0.96017371956632735</c:v>
                </c:pt>
                <c:pt idx="949">
                  <c:v>-3.9117362427916282E-2</c:v>
                </c:pt>
                <c:pt idx="950">
                  <c:v>-4.8247211571265491E-2</c:v>
                </c:pt>
                <c:pt idx="951">
                  <c:v>0.1581963315953108</c:v>
                </c:pt>
                <c:pt idx="952">
                  <c:v>0.70074863145698396</c:v>
                </c:pt>
                <c:pt idx="953">
                  <c:v>1.7398094371098289</c:v>
                </c:pt>
                <c:pt idx="954">
                  <c:v>0.57135501661396271</c:v>
                </c:pt>
                <c:pt idx="955">
                  <c:v>-0.27654083368236171</c:v>
                </c:pt>
                <c:pt idx="956">
                  <c:v>-0.51924018301697739</c:v>
                </c:pt>
                <c:pt idx="957">
                  <c:v>-0.35970587246437752</c:v>
                </c:pt>
                <c:pt idx="958">
                  <c:v>-0.83710306024868064</c:v>
                </c:pt>
                <c:pt idx="959">
                  <c:v>-0.99824354028900908</c:v>
                </c:pt>
                <c:pt idx="960">
                  <c:v>0.12854455197339901</c:v>
                </c:pt>
                <c:pt idx="961">
                  <c:v>1.3536157583189199</c:v>
                </c:pt>
                <c:pt idx="962">
                  <c:v>0.99036075023545966</c:v>
                </c:pt>
                <c:pt idx="963">
                  <c:v>0.59285726781285131</c:v>
                </c:pt>
                <c:pt idx="964">
                  <c:v>0.56983811343505197</c:v>
                </c:pt>
                <c:pt idx="965">
                  <c:v>0.78802344308992878</c:v>
                </c:pt>
                <c:pt idx="966">
                  <c:v>-0.72306371270423375</c:v>
                </c:pt>
                <c:pt idx="967">
                  <c:v>-1.090868429713</c:v>
                </c:pt>
                <c:pt idx="968">
                  <c:v>-0.95908810642401487</c:v>
                </c:pt>
                <c:pt idx="969">
                  <c:v>-0.37394027271609909</c:v>
                </c:pt>
                <c:pt idx="970">
                  <c:v>2.5620882982169121E-2</c:v>
                </c:pt>
                <c:pt idx="971">
                  <c:v>-4.8425079202559652E-2</c:v>
                </c:pt>
                <c:pt idx="972">
                  <c:v>1.1191852260928989</c:v>
                </c:pt>
                <c:pt idx="973">
                  <c:v>1.3205317204346769</c:v>
                </c:pt>
                <c:pt idx="974">
                  <c:v>0.49854856564960948</c:v>
                </c:pt>
                <c:pt idx="975">
                  <c:v>-0.87790814618905033</c:v>
                </c:pt>
                <c:pt idx="976">
                  <c:v>-0.67824651614233078</c:v>
                </c:pt>
                <c:pt idx="977">
                  <c:v>-0.93583238162094751</c:v>
                </c:pt>
                <c:pt idx="978">
                  <c:v>-1.267837080992225</c:v>
                </c:pt>
                <c:pt idx="979">
                  <c:v>-0.93570232106364737</c:v>
                </c:pt>
                <c:pt idx="980">
                  <c:v>0.1571600317300734</c:v>
                </c:pt>
                <c:pt idx="981">
                  <c:v>1.172876764649484</c:v>
                </c:pt>
                <c:pt idx="982">
                  <c:v>0.7576612876692852</c:v>
                </c:pt>
                <c:pt idx="983">
                  <c:v>0.44151424506676618</c:v>
                </c:pt>
                <c:pt idx="984">
                  <c:v>0.58706474447436474</c:v>
                </c:pt>
                <c:pt idx="985">
                  <c:v>0.26832706216156882</c:v>
                </c:pt>
                <c:pt idx="986">
                  <c:v>-0.28710559193906637</c:v>
                </c:pt>
                <c:pt idx="987">
                  <c:v>-1.2755840581800151</c:v>
                </c:pt>
                <c:pt idx="988">
                  <c:v>-0.9952493510611462</c:v>
                </c:pt>
                <c:pt idx="989">
                  <c:v>-8.2408084493618278E-2</c:v>
                </c:pt>
                <c:pt idx="990">
                  <c:v>4.1676561589532549E-2</c:v>
                </c:pt>
                <c:pt idx="991">
                  <c:v>-0.32056172139238448</c:v>
                </c:pt>
                <c:pt idx="992">
                  <c:v>0.90162103979096786</c:v>
                </c:pt>
                <c:pt idx="993">
                  <c:v>1.314659666695609</c:v>
                </c:pt>
                <c:pt idx="994">
                  <c:v>0.38746125031355733</c:v>
                </c:pt>
                <c:pt idx="995">
                  <c:v>-0.55622005857720569</c:v>
                </c:pt>
                <c:pt idx="996">
                  <c:v>-0.22824794692263001</c:v>
                </c:pt>
                <c:pt idx="997">
                  <c:v>-0.32288794404174082</c:v>
                </c:pt>
                <c:pt idx="998">
                  <c:v>-1.065292314251713</c:v>
                </c:pt>
                <c:pt idx="999">
                  <c:v>-0.97326869602121813</c:v>
                </c:pt>
                <c:pt idx="1000">
                  <c:v>0.27987108731712401</c:v>
                </c:pt>
                <c:pt idx="1001">
                  <c:v>1.27271198887501</c:v>
                </c:pt>
                <c:pt idx="1002">
                  <c:v>0.96298259027920308</c:v>
                </c:pt>
                <c:pt idx="1003">
                  <c:v>0.32166916075406071</c:v>
                </c:pt>
                <c:pt idx="1004">
                  <c:v>0.72742991501519905</c:v>
                </c:pt>
                <c:pt idx="1005">
                  <c:v>0.57869707708435669</c:v>
                </c:pt>
                <c:pt idx="1006">
                  <c:v>-0.40874660828686138</c:v>
                </c:pt>
                <c:pt idx="1007">
                  <c:v>-1.324022155958742</c:v>
                </c:pt>
                <c:pt idx="1008">
                  <c:v>-0.74114597323129994</c:v>
                </c:pt>
                <c:pt idx="1009">
                  <c:v>-0.1948322946045809</c:v>
                </c:pt>
                <c:pt idx="1010">
                  <c:v>0.26347881312689803</c:v>
                </c:pt>
                <c:pt idx="1011">
                  <c:v>0.12730517323091869</c:v>
                </c:pt>
                <c:pt idx="1012">
                  <c:v>1.3661086908201869</c:v>
                </c:pt>
                <c:pt idx="1013">
                  <c:v>1.3132189526772331</c:v>
                </c:pt>
                <c:pt idx="1014">
                  <c:v>0.93497801292558713</c:v>
                </c:pt>
                <c:pt idx="1015">
                  <c:v>-0.46041784330744201</c:v>
                </c:pt>
                <c:pt idx="1016">
                  <c:v>-0.71806885301532941</c:v>
                </c:pt>
                <c:pt idx="1017">
                  <c:v>-0.5478336831059939</c:v>
                </c:pt>
                <c:pt idx="1018">
                  <c:v>-1.0151259779339421</c:v>
                </c:pt>
                <c:pt idx="1019">
                  <c:v>-1.0029520630121009</c:v>
                </c:pt>
                <c:pt idx="1020">
                  <c:v>0.10456709760704019</c:v>
                </c:pt>
                <c:pt idx="1021">
                  <c:v>0.97304525150470533</c:v>
                </c:pt>
                <c:pt idx="1022">
                  <c:v>0.94618559784304745</c:v>
                </c:pt>
                <c:pt idx="1023">
                  <c:v>0.87951058801752646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B-BF46-B0F9-DE011DD6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05216"/>
        <c:axId val="824298576"/>
      </c:scatterChart>
      <c:valAx>
        <c:axId val="8243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298576"/>
        <c:crosses val="autoZero"/>
        <c:crossBetween val="midCat"/>
      </c:valAx>
      <c:valAx>
        <c:axId val="8242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3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Data'!$F$1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'Wave Data'!$E$2:$E$1025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'Wave Data'!$F$2:$F$1025</c:f>
              <c:numCache>
                <c:formatCode>General</c:formatCode>
                <c:ptCount val="1024"/>
                <c:pt idx="0">
                  <c:v>1.6611378338060138E-2</c:v>
                </c:pt>
                <c:pt idx="1">
                  <c:v>1.6594151689532526E-2</c:v>
                </c:pt>
                <c:pt idx="2">
                  <c:v>1.5052260413086022E-2</c:v>
                </c:pt>
                <c:pt idx="3">
                  <c:v>8.9385817666024891E-3</c:v>
                </c:pt>
                <c:pt idx="4">
                  <c:v>9.5166469517128597E-3</c:v>
                </c:pt>
                <c:pt idx="5">
                  <c:v>1.5724043397523361E-2</c:v>
                </c:pt>
                <c:pt idx="6">
                  <c:v>4.4696136741381419E-3</c:v>
                </c:pt>
                <c:pt idx="7">
                  <c:v>1.7039339824295358E-2</c:v>
                </c:pt>
                <c:pt idx="8">
                  <c:v>1.1245497295343547E-2</c:v>
                </c:pt>
                <c:pt idx="9">
                  <c:v>1.4130775347625225E-2</c:v>
                </c:pt>
                <c:pt idx="10">
                  <c:v>2.4073597405331226E-2</c:v>
                </c:pt>
                <c:pt idx="11">
                  <c:v>5.0608246783542367E-3</c:v>
                </c:pt>
                <c:pt idx="12">
                  <c:v>9.0831931208146307E-3</c:v>
                </c:pt>
                <c:pt idx="13">
                  <c:v>1.5545708355899581E-2</c:v>
                </c:pt>
                <c:pt idx="14">
                  <c:v>8.9391791054020849E-3</c:v>
                </c:pt>
                <c:pt idx="15">
                  <c:v>2.0129891739961971E-2</c:v>
                </c:pt>
                <c:pt idx="16">
                  <c:v>2.2361108130064582E-2</c:v>
                </c:pt>
                <c:pt idx="17">
                  <c:v>2.4276040437006461E-2</c:v>
                </c:pt>
                <c:pt idx="18">
                  <c:v>1.0359670541978203E-2</c:v>
                </c:pt>
                <c:pt idx="19">
                  <c:v>1.5155550202958598E-2</c:v>
                </c:pt>
                <c:pt idx="20">
                  <c:v>1.6445686447057691E-2</c:v>
                </c:pt>
                <c:pt idx="21">
                  <c:v>1.2173852832613925E-2</c:v>
                </c:pt>
                <c:pt idx="22">
                  <c:v>4.4388560981035094E-3</c:v>
                </c:pt>
                <c:pt idx="23">
                  <c:v>8.2450307261031138E-3</c:v>
                </c:pt>
                <c:pt idx="24">
                  <c:v>1.1384505372653278E-2</c:v>
                </c:pt>
                <c:pt idx="25">
                  <c:v>1.1403322903726117E-2</c:v>
                </c:pt>
                <c:pt idx="26">
                  <c:v>3.3637665003288875E-3</c:v>
                </c:pt>
                <c:pt idx="27">
                  <c:v>1.5412032049937822E-2</c:v>
                </c:pt>
                <c:pt idx="28">
                  <c:v>1.4446294094569644E-2</c:v>
                </c:pt>
                <c:pt idx="29">
                  <c:v>1.1675925944807458E-2</c:v>
                </c:pt>
                <c:pt idx="30">
                  <c:v>2.5438874723292124E-2</c:v>
                </c:pt>
                <c:pt idx="31">
                  <c:v>1.111675893394087E-2</c:v>
                </c:pt>
                <c:pt idx="32">
                  <c:v>1.220236204446924E-3</c:v>
                </c:pt>
                <c:pt idx="33">
                  <c:v>1.5297218157297007E-2</c:v>
                </c:pt>
                <c:pt idx="34">
                  <c:v>1.3511760299772295E-2</c:v>
                </c:pt>
                <c:pt idx="35">
                  <c:v>1.7187571242655759E-2</c:v>
                </c:pt>
                <c:pt idx="36">
                  <c:v>1.8393639119351143E-2</c:v>
                </c:pt>
                <c:pt idx="37">
                  <c:v>2.2871148371389821E-3</c:v>
                </c:pt>
                <c:pt idx="38">
                  <c:v>9.0261863351696215E-3</c:v>
                </c:pt>
                <c:pt idx="39">
                  <c:v>1.8527635849088692E-2</c:v>
                </c:pt>
                <c:pt idx="40">
                  <c:v>4.1997146122664374E-3</c:v>
                </c:pt>
                <c:pt idx="41">
                  <c:v>2.5740228994959964E-3</c:v>
                </c:pt>
                <c:pt idx="42">
                  <c:v>1.4932808634117068E-2</c:v>
                </c:pt>
                <c:pt idx="43">
                  <c:v>1.9648329056539808E-3</c:v>
                </c:pt>
                <c:pt idx="44">
                  <c:v>2.3307449176503594E-2</c:v>
                </c:pt>
                <c:pt idx="45">
                  <c:v>1.766834861446244E-2</c:v>
                </c:pt>
                <c:pt idx="46">
                  <c:v>2.4800523988243593E-2</c:v>
                </c:pt>
                <c:pt idx="47">
                  <c:v>9.0552465473475383E-3</c:v>
                </c:pt>
                <c:pt idx="48">
                  <c:v>7.2759762222269677E-3</c:v>
                </c:pt>
                <c:pt idx="49">
                  <c:v>1.6814620605422506E-2</c:v>
                </c:pt>
                <c:pt idx="50">
                  <c:v>2.5129257201516885E-2</c:v>
                </c:pt>
                <c:pt idx="51">
                  <c:v>1.3001199734597884E-2</c:v>
                </c:pt>
                <c:pt idx="52">
                  <c:v>1.2514062034718465E-2</c:v>
                </c:pt>
                <c:pt idx="53">
                  <c:v>1.0262312258440837E-2</c:v>
                </c:pt>
                <c:pt idx="54">
                  <c:v>4.9968922104109978E-3</c:v>
                </c:pt>
                <c:pt idx="55">
                  <c:v>4.189794722328442E-3</c:v>
                </c:pt>
                <c:pt idx="56">
                  <c:v>1.7019478706430783E-2</c:v>
                </c:pt>
                <c:pt idx="57">
                  <c:v>1.1607024373744338E-2</c:v>
                </c:pt>
                <c:pt idx="58">
                  <c:v>1.5068375918291139E-2</c:v>
                </c:pt>
                <c:pt idx="59">
                  <c:v>1.1036831660437271E-2</c:v>
                </c:pt>
                <c:pt idx="60">
                  <c:v>1.1841913594874803E-2</c:v>
                </c:pt>
                <c:pt idx="61">
                  <c:v>1.3533504780926764E-2</c:v>
                </c:pt>
                <c:pt idx="62">
                  <c:v>4.5735928062236421E-3</c:v>
                </c:pt>
                <c:pt idx="63">
                  <c:v>1.4413186328744953E-2</c:v>
                </c:pt>
                <c:pt idx="64">
                  <c:v>7.958542353494533E-3</c:v>
                </c:pt>
                <c:pt idx="65">
                  <c:v>7.1028634177582109E-3</c:v>
                </c:pt>
                <c:pt idx="66">
                  <c:v>7.4297816285533473E-3</c:v>
                </c:pt>
                <c:pt idx="67">
                  <c:v>1.1464373995948832E-2</c:v>
                </c:pt>
                <c:pt idx="68">
                  <c:v>1.456841402031186E-2</c:v>
                </c:pt>
                <c:pt idx="69">
                  <c:v>2.5479010060417692E-2</c:v>
                </c:pt>
                <c:pt idx="70">
                  <c:v>1.2884479150669568E-2</c:v>
                </c:pt>
                <c:pt idx="71">
                  <c:v>2.6307662743692072E-2</c:v>
                </c:pt>
                <c:pt idx="72">
                  <c:v>1.1618472472191532E-2</c:v>
                </c:pt>
                <c:pt idx="73">
                  <c:v>2.7066443847304691E-2</c:v>
                </c:pt>
                <c:pt idx="74">
                  <c:v>1.2583170665664405E-2</c:v>
                </c:pt>
                <c:pt idx="75">
                  <c:v>2.3322816983007949E-2</c:v>
                </c:pt>
                <c:pt idx="76">
                  <c:v>2.4469023367984667E-2</c:v>
                </c:pt>
                <c:pt idx="77">
                  <c:v>2.6930842088020109E-2</c:v>
                </c:pt>
                <c:pt idx="78">
                  <c:v>7.2620842194075228E-3</c:v>
                </c:pt>
                <c:pt idx="79">
                  <c:v>1.0378337515034282E-2</c:v>
                </c:pt>
                <c:pt idx="80">
                  <c:v>2.210318557011957E-2</c:v>
                </c:pt>
                <c:pt idx="81">
                  <c:v>6.554630940585328E-3</c:v>
                </c:pt>
                <c:pt idx="82">
                  <c:v>2.5500080518707838E-2</c:v>
                </c:pt>
                <c:pt idx="83">
                  <c:v>6.1192466160161375E-3</c:v>
                </c:pt>
                <c:pt idx="84">
                  <c:v>1.3120150037191212E-2</c:v>
                </c:pt>
                <c:pt idx="85">
                  <c:v>1.9810033931191483E-2</c:v>
                </c:pt>
                <c:pt idx="86">
                  <c:v>2.197861914818431E-2</c:v>
                </c:pt>
                <c:pt idx="87">
                  <c:v>2.8366243709103092E-2</c:v>
                </c:pt>
                <c:pt idx="88">
                  <c:v>3.6548532379044853E-2</c:v>
                </c:pt>
                <c:pt idx="89">
                  <c:v>9.8632639581235897E-3</c:v>
                </c:pt>
                <c:pt idx="90">
                  <c:v>2.3146533157136898E-2</c:v>
                </c:pt>
                <c:pt idx="91">
                  <c:v>2.3242688734946917E-2</c:v>
                </c:pt>
                <c:pt idx="92">
                  <c:v>3.3679857796397566E-2</c:v>
                </c:pt>
                <c:pt idx="93">
                  <c:v>4.0293219508908754E-2</c:v>
                </c:pt>
                <c:pt idx="94">
                  <c:v>2.8389945464667398E-2</c:v>
                </c:pt>
                <c:pt idx="95">
                  <c:v>4.2987278239084138E-2</c:v>
                </c:pt>
                <c:pt idx="96">
                  <c:v>3.9865491703241565E-2</c:v>
                </c:pt>
                <c:pt idx="97">
                  <c:v>6.6783497610231765E-2</c:v>
                </c:pt>
                <c:pt idx="98">
                  <c:v>7.5066557362063413E-2</c:v>
                </c:pt>
                <c:pt idx="99">
                  <c:v>0.10510219757666828</c:v>
                </c:pt>
                <c:pt idx="100">
                  <c:v>0.12104206404440768</c:v>
                </c:pt>
                <c:pt idx="101">
                  <c:v>0.20923530643856592</c:v>
                </c:pt>
                <c:pt idx="102">
                  <c:v>0.76129544306098096</c:v>
                </c:pt>
                <c:pt idx="103">
                  <c:v>0.5073971735644256</c:v>
                </c:pt>
                <c:pt idx="104">
                  <c:v>0.17939313104796464</c:v>
                </c:pt>
                <c:pt idx="105">
                  <c:v>0.13220634065647882</c:v>
                </c:pt>
                <c:pt idx="106">
                  <c:v>7.3729957866639093E-2</c:v>
                </c:pt>
                <c:pt idx="107">
                  <c:v>5.4432205291833145E-2</c:v>
                </c:pt>
                <c:pt idx="108">
                  <c:v>5.8189565862830001E-2</c:v>
                </c:pt>
                <c:pt idx="109">
                  <c:v>4.3149958677620316E-2</c:v>
                </c:pt>
                <c:pt idx="110">
                  <c:v>4.0711130148526287E-2</c:v>
                </c:pt>
                <c:pt idx="111">
                  <c:v>3.2857198671673027E-2</c:v>
                </c:pt>
                <c:pt idx="112">
                  <c:v>3.7610859304798211E-2</c:v>
                </c:pt>
                <c:pt idx="113">
                  <c:v>2.6588561846389715E-2</c:v>
                </c:pt>
                <c:pt idx="114">
                  <c:v>1.9673061691104901E-2</c:v>
                </c:pt>
                <c:pt idx="115">
                  <c:v>2.4172829413391161E-2</c:v>
                </c:pt>
                <c:pt idx="116">
                  <c:v>2.0794841785871578E-2</c:v>
                </c:pt>
                <c:pt idx="117">
                  <c:v>1.1431051324637891E-2</c:v>
                </c:pt>
                <c:pt idx="118">
                  <c:v>1.3001736920479656E-2</c:v>
                </c:pt>
                <c:pt idx="119">
                  <c:v>2.6700086277595136E-2</c:v>
                </c:pt>
                <c:pt idx="120">
                  <c:v>1.8727410374292174E-2</c:v>
                </c:pt>
                <c:pt idx="121">
                  <c:v>3.1353325701598198E-2</c:v>
                </c:pt>
                <c:pt idx="122">
                  <c:v>2.9196612622740991E-2</c:v>
                </c:pt>
                <c:pt idx="123">
                  <c:v>2.1025593339105232E-2</c:v>
                </c:pt>
                <c:pt idx="124">
                  <c:v>1.6650762574279273E-2</c:v>
                </c:pt>
                <c:pt idx="125">
                  <c:v>5.5378532100556271E-3</c:v>
                </c:pt>
                <c:pt idx="126">
                  <c:v>1.7478062468396713E-2</c:v>
                </c:pt>
                <c:pt idx="127">
                  <c:v>1.8314456910023615E-2</c:v>
                </c:pt>
                <c:pt idx="128">
                  <c:v>1.4304791762221091E-2</c:v>
                </c:pt>
                <c:pt idx="129">
                  <c:v>1.986923815693192E-2</c:v>
                </c:pt>
                <c:pt idx="130">
                  <c:v>2.0037754468077037E-2</c:v>
                </c:pt>
                <c:pt idx="131">
                  <c:v>9.5830789470294601E-3</c:v>
                </c:pt>
                <c:pt idx="132">
                  <c:v>1.6372586062605405E-2</c:v>
                </c:pt>
                <c:pt idx="133">
                  <c:v>1.0973027165507486E-2</c:v>
                </c:pt>
                <c:pt idx="134">
                  <c:v>2.8303148876565608E-2</c:v>
                </c:pt>
                <c:pt idx="135">
                  <c:v>1.4415850336002295E-2</c:v>
                </c:pt>
                <c:pt idx="136">
                  <c:v>7.5611686682127395E-3</c:v>
                </c:pt>
                <c:pt idx="137">
                  <c:v>3.6156380073135486E-3</c:v>
                </c:pt>
                <c:pt idx="138">
                  <c:v>9.1204401336668125E-3</c:v>
                </c:pt>
                <c:pt idx="139">
                  <c:v>1.4232146177298271E-2</c:v>
                </c:pt>
                <c:pt idx="140">
                  <c:v>9.3448002484811093E-3</c:v>
                </c:pt>
                <c:pt idx="141">
                  <c:v>1.2262548860752443E-2</c:v>
                </c:pt>
                <c:pt idx="142">
                  <c:v>1.8036474537901678E-2</c:v>
                </c:pt>
                <c:pt idx="143">
                  <c:v>1.6011791872691316E-2</c:v>
                </c:pt>
                <c:pt idx="144">
                  <c:v>1.1835834988940227E-2</c:v>
                </c:pt>
                <c:pt idx="145">
                  <c:v>8.4011508680942176E-3</c:v>
                </c:pt>
                <c:pt idx="146">
                  <c:v>1.8288214713167824E-2</c:v>
                </c:pt>
                <c:pt idx="147">
                  <c:v>1.3293390973210221E-2</c:v>
                </c:pt>
                <c:pt idx="148">
                  <c:v>1.774270720982616E-2</c:v>
                </c:pt>
                <c:pt idx="149">
                  <c:v>2.8431212121157964E-3</c:v>
                </c:pt>
                <c:pt idx="150">
                  <c:v>1.4945202272408318E-2</c:v>
                </c:pt>
                <c:pt idx="151">
                  <c:v>1.7792854206211114E-2</c:v>
                </c:pt>
                <c:pt idx="152">
                  <c:v>2.1042256750868953E-2</c:v>
                </c:pt>
                <c:pt idx="153">
                  <c:v>1.3964894163996112E-2</c:v>
                </c:pt>
                <c:pt idx="154">
                  <c:v>1.9976472187826911E-3</c:v>
                </c:pt>
                <c:pt idx="155">
                  <c:v>1.1107544426097434E-2</c:v>
                </c:pt>
                <c:pt idx="156">
                  <c:v>4.0257043580593337E-3</c:v>
                </c:pt>
                <c:pt idx="157">
                  <c:v>1.3167783901448857E-2</c:v>
                </c:pt>
                <c:pt idx="158">
                  <c:v>8.3433198209840135E-3</c:v>
                </c:pt>
                <c:pt idx="159">
                  <c:v>9.0633283476804789E-3</c:v>
                </c:pt>
                <c:pt idx="160">
                  <c:v>1.5328429835886571E-2</c:v>
                </c:pt>
                <c:pt idx="161">
                  <c:v>3.5643735640754279E-3</c:v>
                </c:pt>
                <c:pt idx="162">
                  <c:v>1.0239987145432356E-2</c:v>
                </c:pt>
                <c:pt idx="163">
                  <c:v>1.5371082205905178E-2</c:v>
                </c:pt>
                <c:pt idx="164">
                  <c:v>1.2341632967006041E-2</c:v>
                </c:pt>
                <c:pt idx="165">
                  <c:v>6.8512329518438733E-3</c:v>
                </c:pt>
                <c:pt idx="166">
                  <c:v>9.3851570645742677E-3</c:v>
                </c:pt>
                <c:pt idx="167">
                  <c:v>3.0809434576149581E-3</c:v>
                </c:pt>
                <c:pt idx="168">
                  <c:v>1.1664007008952683E-2</c:v>
                </c:pt>
                <c:pt idx="169">
                  <c:v>2.6474063569103E-2</c:v>
                </c:pt>
                <c:pt idx="170">
                  <c:v>1.5166831608828462E-2</c:v>
                </c:pt>
                <c:pt idx="171">
                  <c:v>7.7756130729043794E-3</c:v>
                </c:pt>
                <c:pt idx="172">
                  <c:v>2.0237203405572841E-2</c:v>
                </c:pt>
                <c:pt idx="173">
                  <c:v>1.3250786131162292E-2</c:v>
                </c:pt>
                <c:pt idx="174">
                  <c:v>9.5361487614329301E-3</c:v>
                </c:pt>
                <c:pt idx="175">
                  <c:v>7.9121573383303286E-3</c:v>
                </c:pt>
                <c:pt idx="176">
                  <c:v>3.3044846329190899E-3</c:v>
                </c:pt>
                <c:pt idx="177">
                  <c:v>9.6258618383682059E-3</c:v>
                </c:pt>
                <c:pt idx="178">
                  <c:v>2.4093731453963738E-2</c:v>
                </c:pt>
                <c:pt idx="179">
                  <c:v>4.9718932479662714E-3</c:v>
                </c:pt>
                <c:pt idx="180">
                  <c:v>7.3376988772697318E-3</c:v>
                </c:pt>
                <c:pt idx="181">
                  <c:v>3.1996227043726913E-2</c:v>
                </c:pt>
                <c:pt idx="182">
                  <c:v>6.685462860207248E-3</c:v>
                </c:pt>
                <c:pt idx="183">
                  <c:v>1.7386697780367787E-2</c:v>
                </c:pt>
                <c:pt idx="184">
                  <c:v>7.7485552192154573E-3</c:v>
                </c:pt>
                <c:pt idx="185">
                  <c:v>8.271818183983079E-3</c:v>
                </c:pt>
                <c:pt idx="186">
                  <c:v>2.0049351865466133E-2</c:v>
                </c:pt>
                <c:pt idx="187">
                  <c:v>1.0562052803594076E-2</c:v>
                </c:pt>
                <c:pt idx="188">
                  <c:v>1.1631797890609986E-2</c:v>
                </c:pt>
                <c:pt idx="189">
                  <c:v>4.7305861864324417E-3</c:v>
                </c:pt>
                <c:pt idx="190">
                  <c:v>1.473433127417473E-2</c:v>
                </c:pt>
                <c:pt idx="191">
                  <c:v>1.3646245357421443E-2</c:v>
                </c:pt>
                <c:pt idx="192">
                  <c:v>5.1337345633151411E-3</c:v>
                </c:pt>
                <c:pt idx="193">
                  <c:v>1.1087781537826573E-2</c:v>
                </c:pt>
                <c:pt idx="194">
                  <c:v>2.6710829131372665E-2</c:v>
                </c:pt>
                <c:pt idx="195">
                  <c:v>9.6311072308527881E-3</c:v>
                </c:pt>
                <c:pt idx="196">
                  <c:v>7.2250812957520274E-3</c:v>
                </c:pt>
                <c:pt idx="197">
                  <c:v>3.4570934130916282E-3</c:v>
                </c:pt>
                <c:pt idx="198">
                  <c:v>1.514338742733955E-2</c:v>
                </c:pt>
                <c:pt idx="199">
                  <c:v>7.4262944470557231E-3</c:v>
                </c:pt>
                <c:pt idx="200">
                  <c:v>1.039117472780361E-2</c:v>
                </c:pt>
                <c:pt idx="201">
                  <c:v>1.5376460641213773E-2</c:v>
                </c:pt>
                <c:pt idx="202">
                  <c:v>7.6088976478115525E-3</c:v>
                </c:pt>
                <c:pt idx="203">
                  <c:v>1.0279321290705915E-2</c:v>
                </c:pt>
                <c:pt idx="204">
                  <c:v>1.6464692524746555E-2</c:v>
                </c:pt>
                <c:pt idx="205">
                  <c:v>1.024222319593718E-2</c:v>
                </c:pt>
                <c:pt idx="206">
                  <c:v>4.9139634697185821E-3</c:v>
                </c:pt>
                <c:pt idx="207">
                  <c:v>9.272945167504619E-3</c:v>
                </c:pt>
                <c:pt idx="208">
                  <c:v>1.1464069670038619E-2</c:v>
                </c:pt>
                <c:pt idx="209">
                  <c:v>1.2340037207753026E-2</c:v>
                </c:pt>
                <c:pt idx="210">
                  <c:v>1.5277792684576899E-2</c:v>
                </c:pt>
                <c:pt idx="211">
                  <c:v>1.1666214231957767E-2</c:v>
                </c:pt>
                <c:pt idx="212">
                  <c:v>1.030083069113474E-2</c:v>
                </c:pt>
                <c:pt idx="213">
                  <c:v>1.2609704370195896E-2</c:v>
                </c:pt>
                <c:pt idx="214">
                  <c:v>6.8740672274741474E-3</c:v>
                </c:pt>
                <c:pt idx="215">
                  <c:v>4.8696491718577895E-3</c:v>
                </c:pt>
                <c:pt idx="216">
                  <c:v>9.0347535619935502E-3</c:v>
                </c:pt>
                <c:pt idx="217">
                  <c:v>9.3230874569643733E-3</c:v>
                </c:pt>
                <c:pt idx="218">
                  <c:v>1.4900963641776725E-2</c:v>
                </c:pt>
                <c:pt idx="219">
                  <c:v>8.8533835900891852E-3</c:v>
                </c:pt>
                <c:pt idx="220">
                  <c:v>1.3441386921052597E-2</c:v>
                </c:pt>
                <c:pt idx="221">
                  <c:v>1.1841276051424762E-2</c:v>
                </c:pt>
                <c:pt idx="222">
                  <c:v>1.8138545614283439E-2</c:v>
                </c:pt>
                <c:pt idx="223">
                  <c:v>1.5702845468598712E-2</c:v>
                </c:pt>
                <c:pt idx="224">
                  <c:v>9.0807455115605624E-3</c:v>
                </c:pt>
                <c:pt idx="225">
                  <c:v>2.1024189027706811E-3</c:v>
                </c:pt>
                <c:pt idx="226">
                  <c:v>2.5213119392416973E-2</c:v>
                </c:pt>
                <c:pt idx="227">
                  <c:v>1.7122728035752485E-2</c:v>
                </c:pt>
                <c:pt idx="228">
                  <c:v>1.1176691042985352E-2</c:v>
                </c:pt>
                <c:pt idx="229">
                  <c:v>4.0718461785890885E-3</c:v>
                </c:pt>
                <c:pt idx="230">
                  <c:v>1.6905908249781151E-2</c:v>
                </c:pt>
                <c:pt idx="231">
                  <c:v>1.5898747631288557E-2</c:v>
                </c:pt>
                <c:pt idx="232">
                  <c:v>1.1740019383044165E-2</c:v>
                </c:pt>
                <c:pt idx="233">
                  <c:v>1.1599807485307367E-2</c:v>
                </c:pt>
                <c:pt idx="234">
                  <c:v>9.4892268896627132E-3</c:v>
                </c:pt>
                <c:pt idx="235">
                  <c:v>1.7090445042839814E-2</c:v>
                </c:pt>
                <c:pt idx="236">
                  <c:v>9.2266507520731445E-3</c:v>
                </c:pt>
                <c:pt idx="237">
                  <c:v>1.7411363771453739E-3</c:v>
                </c:pt>
                <c:pt idx="238">
                  <c:v>1.4471197183996693E-2</c:v>
                </c:pt>
                <c:pt idx="239">
                  <c:v>2.2257734856361719E-2</c:v>
                </c:pt>
                <c:pt idx="240">
                  <c:v>4.1243629043047634E-3</c:v>
                </c:pt>
                <c:pt idx="241">
                  <c:v>4.3733828371598921E-3</c:v>
                </c:pt>
                <c:pt idx="242">
                  <c:v>7.8423315762668339E-3</c:v>
                </c:pt>
                <c:pt idx="243">
                  <c:v>1.0501650247942373E-2</c:v>
                </c:pt>
                <c:pt idx="244">
                  <c:v>8.4569784151887241E-3</c:v>
                </c:pt>
                <c:pt idx="245">
                  <c:v>1.352217973359468E-2</c:v>
                </c:pt>
                <c:pt idx="246">
                  <c:v>6.9779728861252633E-3</c:v>
                </c:pt>
                <c:pt idx="247">
                  <c:v>2.5140557959233076E-3</c:v>
                </c:pt>
                <c:pt idx="248">
                  <c:v>5.0254965620154506E-3</c:v>
                </c:pt>
                <c:pt idx="249">
                  <c:v>4.5578393589744276E-3</c:v>
                </c:pt>
                <c:pt idx="250">
                  <c:v>1.757822338551443E-2</c:v>
                </c:pt>
                <c:pt idx="251">
                  <c:v>4.3651632549831483E-3</c:v>
                </c:pt>
                <c:pt idx="252">
                  <c:v>1.0382722567631031E-2</c:v>
                </c:pt>
                <c:pt idx="253">
                  <c:v>4.4880819398179922E-3</c:v>
                </c:pt>
                <c:pt idx="254">
                  <c:v>6.4877820519091672E-3</c:v>
                </c:pt>
                <c:pt idx="255">
                  <c:v>1.4115318641695436E-2</c:v>
                </c:pt>
                <c:pt idx="256">
                  <c:v>0.49369211739224217</c:v>
                </c:pt>
                <c:pt idx="257">
                  <c:v>1.4247709476368404E-3</c:v>
                </c:pt>
                <c:pt idx="258">
                  <c:v>9.4879990070880771E-3</c:v>
                </c:pt>
                <c:pt idx="259">
                  <c:v>9.2997974438660223E-3</c:v>
                </c:pt>
                <c:pt idx="260">
                  <c:v>2.0410725704294832E-2</c:v>
                </c:pt>
                <c:pt idx="261">
                  <c:v>2.2005511796082452E-3</c:v>
                </c:pt>
                <c:pt idx="262">
                  <c:v>1.0303481711021372E-2</c:v>
                </c:pt>
                <c:pt idx="263">
                  <c:v>1.333562920853484E-2</c:v>
                </c:pt>
                <c:pt idx="264">
                  <c:v>6.1478227948536758E-3</c:v>
                </c:pt>
                <c:pt idx="265">
                  <c:v>1.0380645301999589E-2</c:v>
                </c:pt>
                <c:pt idx="266">
                  <c:v>4.1721165650506495E-3</c:v>
                </c:pt>
                <c:pt idx="267">
                  <c:v>1.5320591609518958E-2</c:v>
                </c:pt>
                <c:pt idx="268">
                  <c:v>3.4703622666609596E-3</c:v>
                </c:pt>
                <c:pt idx="269">
                  <c:v>1.1407409752347717E-2</c:v>
                </c:pt>
                <c:pt idx="270">
                  <c:v>1.0727411829799256E-2</c:v>
                </c:pt>
                <c:pt idx="271">
                  <c:v>3.0475954269522661E-2</c:v>
                </c:pt>
                <c:pt idx="272">
                  <c:v>6.3080541769015312E-3</c:v>
                </c:pt>
                <c:pt idx="273">
                  <c:v>7.6596421814587588E-4</c:v>
                </c:pt>
                <c:pt idx="274">
                  <c:v>1.0093860643810568E-3</c:v>
                </c:pt>
                <c:pt idx="275">
                  <c:v>1.26127249469967E-2</c:v>
                </c:pt>
                <c:pt idx="276">
                  <c:v>1.0593934478465976E-2</c:v>
                </c:pt>
                <c:pt idx="277">
                  <c:v>1.1132187635850947E-2</c:v>
                </c:pt>
                <c:pt idx="278">
                  <c:v>1.8056929203353299E-2</c:v>
                </c:pt>
                <c:pt idx="279">
                  <c:v>1.6636404205888081E-2</c:v>
                </c:pt>
                <c:pt idx="280">
                  <c:v>1.2104077614801617E-2</c:v>
                </c:pt>
                <c:pt idx="281">
                  <c:v>2.04561658067717E-2</c:v>
                </c:pt>
                <c:pt idx="282">
                  <c:v>9.7019707589356442E-3</c:v>
                </c:pt>
                <c:pt idx="283">
                  <c:v>6.8144422695375238E-3</c:v>
                </c:pt>
                <c:pt idx="284">
                  <c:v>1.5120293522652817E-2</c:v>
                </c:pt>
                <c:pt idx="285">
                  <c:v>1.513716670185635E-2</c:v>
                </c:pt>
                <c:pt idx="286">
                  <c:v>4.2328750961390113E-3</c:v>
                </c:pt>
                <c:pt idx="287">
                  <c:v>2.0463584488430067E-2</c:v>
                </c:pt>
                <c:pt idx="288">
                  <c:v>1.768479329378868E-3</c:v>
                </c:pt>
                <c:pt idx="289">
                  <c:v>7.2036744047633446E-3</c:v>
                </c:pt>
                <c:pt idx="290">
                  <c:v>4.4425270744320663E-3</c:v>
                </c:pt>
                <c:pt idx="291">
                  <c:v>1.531129259102338E-2</c:v>
                </c:pt>
                <c:pt idx="292">
                  <c:v>5.020214520763738E-3</c:v>
                </c:pt>
                <c:pt idx="293">
                  <c:v>1.4181612127505636E-2</c:v>
                </c:pt>
                <c:pt idx="294">
                  <c:v>8.9992812388207978E-3</c:v>
                </c:pt>
                <c:pt idx="295">
                  <c:v>7.6930461461318751E-3</c:v>
                </c:pt>
                <c:pt idx="296">
                  <c:v>9.3753370145518086E-3</c:v>
                </c:pt>
                <c:pt idx="297">
                  <c:v>6.6649659073485601E-3</c:v>
                </c:pt>
                <c:pt idx="298">
                  <c:v>1.2531672091818399E-2</c:v>
                </c:pt>
                <c:pt idx="299">
                  <c:v>6.3795032871184383E-3</c:v>
                </c:pt>
                <c:pt idx="300">
                  <c:v>2.2080022777731217E-2</c:v>
                </c:pt>
                <c:pt idx="301">
                  <c:v>1.6562976072526203E-3</c:v>
                </c:pt>
                <c:pt idx="302">
                  <c:v>6.3427215441250609E-3</c:v>
                </c:pt>
                <c:pt idx="303">
                  <c:v>3.6274490141235587E-3</c:v>
                </c:pt>
                <c:pt idx="304">
                  <c:v>9.1170307422568115E-3</c:v>
                </c:pt>
                <c:pt idx="305">
                  <c:v>1.8080935807087813E-2</c:v>
                </c:pt>
                <c:pt idx="306">
                  <c:v>7.7716795603115845E-3</c:v>
                </c:pt>
                <c:pt idx="307">
                  <c:v>5.5775082505705054E-3</c:v>
                </c:pt>
                <c:pt idx="308">
                  <c:v>1.439439804371135E-2</c:v>
                </c:pt>
                <c:pt idx="309">
                  <c:v>1.1439508432392803E-2</c:v>
                </c:pt>
                <c:pt idx="310">
                  <c:v>6.334178391339733E-4</c:v>
                </c:pt>
                <c:pt idx="311">
                  <c:v>2.0953572244029585E-2</c:v>
                </c:pt>
                <c:pt idx="312">
                  <c:v>3.8266792840311718E-3</c:v>
                </c:pt>
                <c:pt idx="313">
                  <c:v>4.4316948594658317E-3</c:v>
                </c:pt>
                <c:pt idx="314">
                  <c:v>1.2712050751552966E-2</c:v>
                </c:pt>
                <c:pt idx="315">
                  <c:v>1.9014419851918141E-2</c:v>
                </c:pt>
                <c:pt idx="316">
                  <c:v>2.0206328768685132E-2</c:v>
                </c:pt>
                <c:pt idx="317">
                  <c:v>6.7469807681783981E-3</c:v>
                </c:pt>
                <c:pt idx="318">
                  <c:v>1.5612560788102853E-2</c:v>
                </c:pt>
                <c:pt idx="319">
                  <c:v>9.4808545847667441E-3</c:v>
                </c:pt>
                <c:pt idx="320">
                  <c:v>7.2366592610424206E-3</c:v>
                </c:pt>
                <c:pt idx="321">
                  <c:v>1.1857424467458676E-2</c:v>
                </c:pt>
                <c:pt idx="322">
                  <c:v>1.743989523933271E-2</c:v>
                </c:pt>
                <c:pt idx="323">
                  <c:v>1.3717075749130146E-2</c:v>
                </c:pt>
                <c:pt idx="324">
                  <c:v>1.0409577330921476E-2</c:v>
                </c:pt>
                <c:pt idx="325">
                  <c:v>9.6589871079398419E-3</c:v>
                </c:pt>
                <c:pt idx="326">
                  <c:v>1.6051403213814392E-2</c:v>
                </c:pt>
                <c:pt idx="327">
                  <c:v>1.3465122314664674E-2</c:v>
                </c:pt>
                <c:pt idx="328">
                  <c:v>6.0423733973597434E-3</c:v>
                </c:pt>
                <c:pt idx="329">
                  <c:v>1.7512119970928369E-2</c:v>
                </c:pt>
                <c:pt idx="330">
                  <c:v>1.0703790158771312E-2</c:v>
                </c:pt>
                <c:pt idx="331">
                  <c:v>1.2857581102014628E-2</c:v>
                </c:pt>
                <c:pt idx="332">
                  <c:v>1.1761128607628841E-2</c:v>
                </c:pt>
                <c:pt idx="333">
                  <c:v>1.7080360649001237E-2</c:v>
                </c:pt>
                <c:pt idx="334">
                  <c:v>5.1703221468314209E-3</c:v>
                </c:pt>
                <c:pt idx="335">
                  <c:v>1.7608405918927501E-2</c:v>
                </c:pt>
                <c:pt idx="336">
                  <c:v>1.6670003456496399E-2</c:v>
                </c:pt>
                <c:pt idx="337">
                  <c:v>2.0856025625071689E-2</c:v>
                </c:pt>
                <c:pt idx="338">
                  <c:v>8.0773843941894415E-3</c:v>
                </c:pt>
                <c:pt idx="339">
                  <c:v>1.1267335423801993E-2</c:v>
                </c:pt>
                <c:pt idx="340">
                  <c:v>1.2602149909021886E-2</c:v>
                </c:pt>
                <c:pt idx="341">
                  <c:v>1.6369156140976959E-2</c:v>
                </c:pt>
                <c:pt idx="342">
                  <c:v>1.5035826773152719E-2</c:v>
                </c:pt>
                <c:pt idx="343">
                  <c:v>1.0626476433292125E-2</c:v>
                </c:pt>
                <c:pt idx="344">
                  <c:v>1.6273150334303762E-2</c:v>
                </c:pt>
                <c:pt idx="345">
                  <c:v>1.0965235065742752E-2</c:v>
                </c:pt>
                <c:pt idx="346">
                  <c:v>2.138352833284111E-3</c:v>
                </c:pt>
                <c:pt idx="347">
                  <c:v>8.50316957527451E-3</c:v>
                </c:pt>
                <c:pt idx="348">
                  <c:v>1.4549830296891896E-2</c:v>
                </c:pt>
                <c:pt idx="349">
                  <c:v>6.4740683103172558E-3</c:v>
                </c:pt>
                <c:pt idx="350">
                  <c:v>1.695879896438568E-2</c:v>
                </c:pt>
                <c:pt idx="351">
                  <c:v>1.9241171052110182E-2</c:v>
                </c:pt>
                <c:pt idx="352">
                  <c:v>8.9151649477510111E-3</c:v>
                </c:pt>
                <c:pt idx="353">
                  <c:v>9.1038692500996325E-3</c:v>
                </c:pt>
                <c:pt idx="354">
                  <c:v>2.0740371227047527E-2</c:v>
                </c:pt>
                <c:pt idx="355">
                  <c:v>1.5504594109231646E-2</c:v>
                </c:pt>
                <c:pt idx="356">
                  <c:v>1.0527292718810049E-2</c:v>
                </c:pt>
                <c:pt idx="357">
                  <c:v>5.2037634807104794E-3</c:v>
                </c:pt>
                <c:pt idx="358">
                  <c:v>7.0259616775780577E-3</c:v>
                </c:pt>
                <c:pt idx="359">
                  <c:v>3.2711071829141904E-3</c:v>
                </c:pt>
                <c:pt idx="360">
                  <c:v>6.5362382769948392E-3</c:v>
                </c:pt>
                <c:pt idx="361">
                  <c:v>4.2731301392012565E-4</c:v>
                </c:pt>
                <c:pt idx="362">
                  <c:v>1.8813520762980002E-2</c:v>
                </c:pt>
                <c:pt idx="363">
                  <c:v>9.2489063411064082E-3</c:v>
                </c:pt>
                <c:pt idx="364">
                  <c:v>1.7526354580462547E-2</c:v>
                </c:pt>
                <c:pt idx="365">
                  <c:v>4.0368541399081531E-3</c:v>
                </c:pt>
                <c:pt idx="366">
                  <c:v>1.2786911404269645E-2</c:v>
                </c:pt>
                <c:pt idx="367">
                  <c:v>1.0779688515644681E-2</c:v>
                </c:pt>
                <c:pt idx="368">
                  <c:v>7.2476436345997562E-3</c:v>
                </c:pt>
                <c:pt idx="369">
                  <c:v>1.6301536238689528E-2</c:v>
                </c:pt>
                <c:pt idx="370">
                  <c:v>1.3640851350904213E-2</c:v>
                </c:pt>
                <c:pt idx="371">
                  <c:v>5.1934764238612723E-3</c:v>
                </c:pt>
                <c:pt idx="372">
                  <c:v>5.9317316086954742E-3</c:v>
                </c:pt>
                <c:pt idx="373">
                  <c:v>1.3162952366595503E-2</c:v>
                </c:pt>
                <c:pt idx="374">
                  <c:v>2.0065053260041991E-2</c:v>
                </c:pt>
                <c:pt idx="375">
                  <c:v>5.7104408790249724E-3</c:v>
                </c:pt>
                <c:pt idx="376">
                  <c:v>2.2387820128447231E-2</c:v>
                </c:pt>
                <c:pt idx="377">
                  <c:v>4.076894971824248E-3</c:v>
                </c:pt>
                <c:pt idx="378">
                  <c:v>8.4399518715104309E-3</c:v>
                </c:pt>
                <c:pt idx="379">
                  <c:v>1.6602966053817933E-2</c:v>
                </c:pt>
                <c:pt idx="380">
                  <c:v>1.3699515843036768E-2</c:v>
                </c:pt>
                <c:pt idx="381">
                  <c:v>1.0305724826422143E-2</c:v>
                </c:pt>
                <c:pt idx="382">
                  <c:v>1.2767061711135863E-2</c:v>
                </c:pt>
                <c:pt idx="383">
                  <c:v>1.0257467032614879E-2</c:v>
                </c:pt>
                <c:pt idx="384">
                  <c:v>9.0241938607696776E-3</c:v>
                </c:pt>
                <c:pt idx="385">
                  <c:v>1.269915868085445E-2</c:v>
                </c:pt>
                <c:pt idx="386">
                  <c:v>9.3121246032536516E-3</c:v>
                </c:pt>
                <c:pt idx="387">
                  <c:v>8.9801481820514385E-3</c:v>
                </c:pt>
                <c:pt idx="388">
                  <c:v>1.2876165121627097E-2</c:v>
                </c:pt>
                <c:pt idx="389">
                  <c:v>1.7710563895993989E-2</c:v>
                </c:pt>
                <c:pt idx="390">
                  <c:v>8.7357794200075937E-3</c:v>
                </c:pt>
                <c:pt idx="391">
                  <c:v>2.528182741222141E-2</c:v>
                </c:pt>
                <c:pt idx="392">
                  <c:v>1.7514845146766784E-2</c:v>
                </c:pt>
                <c:pt idx="393">
                  <c:v>1.708571570312907E-2</c:v>
                </c:pt>
                <c:pt idx="394">
                  <c:v>7.4850165911538391E-3</c:v>
                </c:pt>
                <c:pt idx="395">
                  <c:v>1.7535270421133228E-2</c:v>
                </c:pt>
                <c:pt idx="396">
                  <c:v>1.3355657450503879E-2</c:v>
                </c:pt>
                <c:pt idx="397">
                  <c:v>1.1149196576468925E-2</c:v>
                </c:pt>
                <c:pt idx="398">
                  <c:v>8.1057420105119533E-3</c:v>
                </c:pt>
                <c:pt idx="399">
                  <c:v>1.2586927778904923E-2</c:v>
                </c:pt>
                <c:pt idx="400">
                  <c:v>1.2671664267609302E-2</c:v>
                </c:pt>
                <c:pt idx="401">
                  <c:v>1.5316366411290971E-2</c:v>
                </c:pt>
                <c:pt idx="402">
                  <c:v>3.4372818806802105E-3</c:v>
                </c:pt>
                <c:pt idx="403">
                  <c:v>1.5093078136841947E-2</c:v>
                </c:pt>
                <c:pt idx="404">
                  <c:v>7.8148474342446053E-3</c:v>
                </c:pt>
                <c:pt idx="405">
                  <c:v>1.0398774367443011E-2</c:v>
                </c:pt>
                <c:pt idx="406">
                  <c:v>4.4094021292789363E-3</c:v>
                </c:pt>
                <c:pt idx="407">
                  <c:v>1.5353543760124287E-2</c:v>
                </c:pt>
                <c:pt idx="408">
                  <c:v>1.4542248803164941E-2</c:v>
                </c:pt>
                <c:pt idx="409">
                  <c:v>1.4482321812703494E-2</c:v>
                </c:pt>
                <c:pt idx="410">
                  <c:v>7.9437660901871873E-3</c:v>
                </c:pt>
                <c:pt idx="411">
                  <c:v>1.8984539988853674E-2</c:v>
                </c:pt>
                <c:pt idx="412">
                  <c:v>1.7255056786408849E-2</c:v>
                </c:pt>
                <c:pt idx="413">
                  <c:v>1.3415557547482911E-2</c:v>
                </c:pt>
                <c:pt idx="414">
                  <c:v>1.7376757379422793E-3</c:v>
                </c:pt>
                <c:pt idx="415">
                  <c:v>1.561184037440054E-2</c:v>
                </c:pt>
                <c:pt idx="416">
                  <c:v>6.072274576180061E-3</c:v>
                </c:pt>
                <c:pt idx="417">
                  <c:v>6.4510413860108624E-3</c:v>
                </c:pt>
                <c:pt idx="418">
                  <c:v>3.7799001443643288E-3</c:v>
                </c:pt>
                <c:pt idx="419">
                  <c:v>8.549997142605837E-3</c:v>
                </c:pt>
                <c:pt idx="420">
                  <c:v>3.0027529948652688E-3</c:v>
                </c:pt>
                <c:pt idx="421">
                  <c:v>7.4342383041168768E-3</c:v>
                </c:pt>
                <c:pt idx="422">
                  <c:v>7.7400062592238774E-3</c:v>
                </c:pt>
                <c:pt idx="423">
                  <c:v>1.0182557159472506E-2</c:v>
                </c:pt>
                <c:pt idx="424">
                  <c:v>4.5429702355690004E-3</c:v>
                </c:pt>
                <c:pt idx="425">
                  <c:v>1.9841006876262071E-2</c:v>
                </c:pt>
                <c:pt idx="426">
                  <c:v>1.8034001315593972E-2</c:v>
                </c:pt>
                <c:pt idx="427">
                  <c:v>1.0379982513251252E-2</c:v>
                </c:pt>
                <c:pt idx="428">
                  <c:v>4.747459954425326E-3</c:v>
                </c:pt>
                <c:pt idx="429">
                  <c:v>2.7574256688638107E-2</c:v>
                </c:pt>
                <c:pt idx="430">
                  <c:v>1.241009809777973E-2</c:v>
                </c:pt>
                <c:pt idx="431">
                  <c:v>1.5354830806688912E-2</c:v>
                </c:pt>
                <c:pt idx="432">
                  <c:v>3.7327479879847472E-3</c:v>
                </c:pt>
                <c:pt idx="433">
                  <c:v>3.1372279271585858E-3</c:v>
                </c:pt>
                <c:pt idx="434">
                  <c:v>1.4594591410773005E-2</c:v>
                </c:pt>
                <c:pt idx="435">
                  <c:v>1.3947072497065586E-2</c:v>
                </c:pt>
                <c:pt idx="436">
                  <c:v>6.0051271236465581E-3</c:v>
                </c:pt>
                <c:pt idx="437">
                  <c:v>1.1351368924467434E-2</c:v>
                </c:pt>
                <c:pt idx="438">
                  <c:v>4.7943010631866781E-3</c:v>
                </c:pt>
                <c:pt idx="439">
                  <c:v>1.2836646197109936E-2</c:v>
                </c:pt>
                <c:pt idx="440">
                  <c:v>1.8117479435518391E-2</c:v>
                </c:pt>
                <c:pt idx="441">
                  <c:v>1.0501766941010028E-2</c:v>
                </c:pt>
                <c:pt idx="442">
                  <c:v>1.4723692286816274E-2</c:v>
                </c:pt>
                <c:pt idx="443">
                  <c:v>2.1836567646407727E-2</c:v>
                </c:pt>
                <c:pt idx="444">
                  <c:v>1.820351524702472E-2</c:v>
                </c:pt>
                <c:pt idx="445">
                  <c:v>7.9979633829454239E-3</c:v>
                </c:pt>
                <c:pt idx="446">
                  <c:v>2.0124515741306422E-2</c:v>
                </c:pt>
                <c:pt idx="447">
                  <c:v>6.363548333259258E-3</c:v>
                </c:pt>
                <c:pt idx="448">
                  <c:v>1.3760196474369372E-2</c:v>
                </c:pt>
                <c:pt idx="449">
                  <c:v>7.5440118254227291E-3</c:v>
                </c:pt>
                <c:pt idx="450">
                  <c:v>2.0785092056856223E-2</c:v>
                </c:pt>
                <c:pt idx="451">
                  <c:v>1.1575464841253096E-2</c:v>
                </c:pt>
                <c:pt idx="452">
                  <c:v>1.3511870548169007E-2</c:v>
                </c:pt>
                <c:pt idx="453">
                  <c:v>5.1421231426761228E-3</c:v>
                </c:pt>
                <c:pt idx="454">
                  <c:v>6.6133119808587243E-3</c:v>
                </c:pt>
                <c:pt idx="455">
                  <c:v>6.0508467382813296E-3</c:v>
                </c:pt>
                <c:pt idx="456">
                  <c:v>9.0261122481481791E-4</c:v>
                </c:pt>
                <c:pt idx="457">
                  <c:v>1.8004254437137601E-2</c:v>
                </c:pt>
                <c:pt idx="458">
                  <c:v>6.2175775662631832E-3</c:v>
                </c:pt>
                <c:pt idx="459">
                  <c:v>9.0890951900850052E-3</c:v>
                </c:pt>
                <c:pt idx="460">
                  <c:v>1.5620973228156119E-2</c:v>
                </c:pt>
                <c:pt idx="461">
                  <c:v>1.3035974693099287E-2</c:v>
                </c:pt>
                <c:pt idx="462">
                  <c:v>2.457896271403176E-2</c:v>
                </c:pt>
                <c:pt idx="463">
                  <c:v>8.0926833214671166E-3</c:v>
                </c:pt>
                <c:pt idx="464">
                  <c:v>1.0828610004165339E-2</c:v>
                </c:pt>
                <c:pt idx="465">
                  <c:v>1.6634980729116979E-2</c:v>
                </c:pt>
                <c:pt idx="466">
                  <c:v>1.6699992029443944E-2</c:v>
                </c:pt>
                <c:pt idx="467">
                  <c:v>2.1328861030822332E-2</c:v>
                </c:pt>
                <c:pt idx="468">
                  <c:v>1.1598000411134946E-2</c:v>
                </c:pt>
                <c:pt idx="469">
                  <c:v>7.7182113524467645E-3</c:v>
                </c:pt>
                <c:pt idx="470">
                  <c:v>5.1271561664412036E-3</c:v>
                </c:pt>
                <c:pt idx="471">
                  <c:v>5.0138302850047259E-3</c:v>
                </c:pt>
                <c:pt idx="472">
                  <c:v>1.0316400210419243E-2</c:v>
                </c:pt>
                <c:pt idx="473">
                  <c:v>1.3619793419501145E-2</c:v>
                </c:pt>
                <c:pt idx="474">
                  <c:v>1.2721486634390895E-2</c:v>
                </c:pt>
                <c:pt idx="475">
                  <c:v>1.452897986523294E-2</c:v>
                </c:pt>
                <c:pt idx="476">
                  <c:v>5.9384312554451417E-3</c:v>
                </c:pt>
                <c:pt idx="477">
                  <c:v>1.4920294439682442E-2</c:v>
                </c:pt>
                <c:pt idx="478">
                  <c:v>1.359578093671035E-2</c:v>
                </c:pt>
                <c:pt idx="479">
                  <c:v>7.0459497478491586E-3</c:v>
                </c:pt>
                <c:pt idx="480">
                  <c:v>9.7867893572074014E-3</c:v>
                </c:pt>
                <c:pt idx="481">
                  <c:v>6.0405529923637635E-3</c:v>
                </c:pt>
                <c:pt idx="482">
                  <c:v>9.0133612084065482E-3</c:v>
                </c:pt>
                <c:pt idx="483">
                  <c:v>1.8017863196661196E-2</c:v>
                </c:pt>
                <c:pt idx="484">
                  <c:v>9.2699159308861894E-3</c:v>
                </c:pt>
                <c:pt idx="485">
                  <c:v>8.7190859397918759E-3</c:v>
                </c:pt>
                <c:pt idx="486">
                  <c:v>1.5652955015112106E-2</c:v>
                </c:pt>
                <c:pt idx="487">
                  <c:v>1.0975211633696703E-2</c:v>
                </c:pt>
                <c:pt idx="488">
                  <c:v>6.748932625735767E-3</c:v>
                </c:pt>
                <c:pt idx="489">
                  <c:v>8.4599397985179511E-3</c:v>
                </c:pt>
                <c:pt idx="490">
                  <c:v>1.3465906285906066E-2</c:v>
                </c:pt>
                <c:pt idx="491">
                  <c:v>2.8728819064187286E-3</c:v>
                </c:pt>
                <c:pt idx="492">
                  <c:v>1.3733907138571068E-2</c:v>
                </c:pt>
                <c:pt idx="493">
                  <c:v>7.7877338488005262E-3</c:v>
                </c:pt>
                <c:pt idx="494">
                  <c:v>1.2331529278359253E-2</c:v>
                </c:pt>
                <c:pt idx="495">
                  <c:v>1.9085038186005237E-3</c:v>
                </c:pt>
                <c:pt idx="496">
                  <c:v>2.3035448036838026E-2</c:v>
                </c:pt>
                <c:pt idx="497">
                  <c:v>3.2211497747800404E-3</c:v>
                </c:pt>
                <c:pt idx="498">
                  <c:v>5.1578727339922923E-3</c:v>
                </c:pt>
                <c:pt idx="499">
                  <c:v>1.376789446584672E-2</c:v>
                </c:pt>
                <c:pt idx="500">
                  <c:v>1.0769641719609539E-2</c:v>
                </c:pt>
                <c:pt idx="501">
                  <c:v>1.4174848822541523E-2</c:v>
                </c:pt>
                <c:pt idx="502">
                  <c:v>5.1741545745003963E-3</c:v>
                </c:pt>
                <c:pt idx="503">
                  <c:v>6.2012092987844703E-3</c:v>
                </c:pt>
                <c:pt idx="504">
                  <c:v>3.025518383396424E-3</c:v>
                </c:pt>
                <c:pt idx="505">
                  <c:v>3.9327763457256007E-3</c:v>
                </c:pt>
                <c:pt idx="506">
                  <c:v>1.42617962409664E-2</c:v>
                </c:pt>
                <c:pt idx="507">
                  <c:v>6.0216332660998585E-3</c:v>
                </c:pt>
                <c:pt idx="508">
                  <c:v>2.1590869213392989E-2</c:v>
                </c:pt>
                <c:pt idx="509">
                  <c:v>6.0239510443521266E-3</c:v>
                </c:pt>
                <c:pt idx="510">
                  <c:v>1.1514224450616282E-2</c:v>
                </c:pt>
                <c:pt idx="511">
                  <c:v>5.8135844874831885E-3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9-E545-8D5A-32E3D23A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44432"/>
        <c:axId val="825546144"/>
      </c:scatterChart>
      <c:valAx>
        <c:axId val="8255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46144"/>
        <c:crosses val="autoZero"/>
        <c:crossBetween val="midCat"/>
      </c:valAx>
      <c:valAx>
        <c:axId val="825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152400</xdr:rowOff>
    </xdr:from>
    <xdr:to>
      <xdr:col>24</xdr:col>
      <xdr:colOff>139700</xdr:colOff>
      <xdr:row>23</xdr:row>
      <xdr:rowOff>88900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1E33BD-8FF8-3101-18B0-70AA979F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28</xdr:row>
      <xdr:rowOff>95250</xdr:rowOff>
    </xdr:from>
    <xdr:to>
      <xdr:col>23</xdr:col>
      <xdr:colOff>482600</xdr:colOff>
      <xdr:row>46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08A257A-80B3-EB7B-16A6-C5B3FAFC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5"/>
  <sheetViews>
    <sheetView tabSelected="1" workbookViewId="0">
      <selection activeCell="E6" sqref="E6"/>
    </sheetView>
  </sheetViews>
  <sheetFormatPr baseColWidth="10" defaultColWidth="9" defaultRowHeight="14"/>
  <cols>
    <col min="1" max="1" width="13.59765625" customWidth="1"/>
    <col min="2" max="2" width="14.796875" customWidth="1"/>
    <col min="3" max="3" width="17" customWidth="1"/>
    <col min="4" max="4" width="15.59765625" customWidth="1"/>
    <col min="5" max="5" width="20" customWidth="1"/>
    <col min="6" max="6" width="24.796875" customWidth="1"/>
    <col min="7" max="7" width="25.3984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9.9342830602246537E-2</v>
      </c>
      <c r="C2">
        <f>SUMPRODUCT(B$2:B$1025, COS(2*PI()*0*(ROW(B$2:B$1025)-1)/1024))</f>
        <v>8.5050257090867909</v>
      </c>
      <c r="D2">
        <f>SUMPRODUCT(B$2:B$1025, -SIN(2*PI()*0*(ROW(B$2:B$1025)-1)/1024))</f>
        <v>0</v>
      </c>
      <c r="E2">
        <f>(ROW()-2)*(2/1024)</f>
        <v>0</v>
      </c>
      <c r="F2">
        <f>SQRT(C2^2 + D2^2)/(1024/2)</f>
        <v>1.6611378338060138E-2</v>
      </c>
    </row>
    <row r="3" spans="1:6">
      <c r="A3">
        <v>0.5</v>
      </c>
      <c r="B3">
        <v>1.060132392058236</v>
      </c>
      <c r="C3">
        <f>SUMPRODUCT(B$2:B$1025, COS(2*PI()*1*(ROW(B$2:B$1025)-1)/1024))</f>
        <v>8.3298947787474074</v>
      </c>
      <c r="D3">
        <f>SUMPRODUCT(B$2:B$1025, -SIN(2*PI()*1*(ROW(B$2:B$1025)-1)/1024))</f>
        <v>1.6728310367952781</v>
      </c>
      <c r="E3">
        <f>(ROW()-2)*(2/1024)</f>
        <v>1.953125E-3</v>
      </c>
      <c r="F3">
        <f t="shared" ref="F3:F66" si="0">SQRT(C3^2 + D3^2)/(1024/2)</f>
        <v>1.6594151689532526E-2</v>
      </c>
    </row>
    <row r="4" spans="1:6">
      <c r="A4">
        <v>1</v>
      </c>
      <c r="B4">
        <v>1.0805942239152919</v>
      </c>
      <c r="C4">
        <f>SUMPRODUCT(B$2:B$1025, COS(2*PI()*2*(ROW(B$2:B$1025)-1)/1024))</f>
        <v>-3.4804624160968722</v>
      </c>
      <c r="D4">
        <f>SUMPRODUCT(B$2:B$1025, -SIN(2*PI()*2*(ROW(B$2:B$1025)-1)/1024))</f>
        <v>6.8760810013238496</v>
      </c>
      <c r="E4">
        <f t="shared" ref="E4:E67" si="1">(ROW()-2)*(2/1024)</f>
        <v>3.90625E-3</v>
      </c>
      <c r="F4">
        <f t="shared" si="0"/>
        <v>1.5052260413086022E-2</v>
      </c>
    </row>
    <row r="5" spans="1:6">
      <c r="A5">
        <v>1.5</v>
      </c>
      <c r="B5">
        <v>0.7556624875767588</v>
      </c>
      <c r="C5">
        <f>SUMPRODUCT(B$2:B$1025, COS(2*PI()*3*(ROW(B$2:B$1025)-1)/1024))</f>
        <v>-0.22380932038588908</v>
      </c>
      <c r="D5">
        <f>SUMPRODUCT(B$2:B$1025, -SIN(2*PI()*3*(ROW(B$2:B$1025)-1)/1024))</f>
        <v>4.571078063518784</v>
      </c>
      <c r="E5">
        <f t="shared" si="1"/>
        <v>5.859375E-3</v>
      </c>
      <c r="F5">
        <f t="shared" si="0"/>
        <v>8.9385817666024891E-3</v>
      </c>
    </row>
    <row r="6" spans="1:6">
      <c r="A6">
        <v>2</v>
      </c>
      <c r="B6">
        <v>0.54095457734780594</v>
      </c>
      <c r="C6">
        <f>SUMPRODUCT(B$2:B$1025, COS(2*PI()*4*(ROW(B$2:B$1025)-1)/1024))</f>
        <v>-4.5235654751743368</v>
      </c>
      <c r="D6">
        <f>SUMPRODUCT(B$2:B$1025, -SIN(2*PI()*4*(ROW(B$2:B$1025)-1)/1024))</f>
        <v>-1.8107562257534977</v>
      </c>
      <c r="E6">
        <f t="shared" si="1"/>
        <v>7.8125E-3</v>
      </c>
      <c r="F6">
        <f t="shared" si="0"/>
        <v>9.5166469517128597E-3</v>
      </c>
    </row>
    <row r="7" spans="1:6">
      <c r="A7">
        <v>2.5</v>
      </c>
      <c r="B7">
        <v>0.45317260861016401</v>
      </c>
      <c r="C7">
        <f>SUMPRODUCT(B$2:B$1025, COS(2*PI()*5*(ROW(B$2:B$1025)-1)/1024))</f>
        <v>7.7028133252662538</v>
      </c>
      <c r="D7">
        <f>SUMPRODUCT(B$2:B$1025, -SIN(2*PI()*5*(ROW(B$2:B$1025)-1)/1024))</f>
        <v>2.3410685412813099</v>
      </c>
      <c r="E7">
        <f t="shared" si="1"/>
        <v>9.765625E-3</v>
      </c>
      <c r="F7">
        <f t="shared" si="0"/>
        <v>1.5724043397523361E-2</v>
      </c>
    </row>
    <row r="8" spans="1:6">
      <c r="A8">
        <v>3</v>
      </c>
      <c r="B8">
        <v>-0.27194268919099451</v>
      </c>
      <c r="C8">
        <f>SUMPRODUCT(B$2:B$1025, COS(2*PI()*6*(ROW(B$2:B$1025)-1)/1024))</f>
        <v>2.1951883364630587</v>
      </c>
      <c r="D8">
        <f>SUMPRODUCT(B$2:B$1025, -SIN(2*PI()*6*(ROW(B$2:B$1025)-1)/1024))</f>
        <v>-0.64661880230995106</v>
      </c>
      <c r="E8">
        <f t="shared" si="1"/>
        <v>1.171875E-2</v>
      </c>
      <c r="F8">
        <f t="shared" si="0"/>
        <v>4.4696136741381419E-3</v>
      </c>
    </row>
    <row r="9" spans="1:6">
      <c r="A9">
        <v>3.5</v>
      </c>
      <c r="B9">
        <v>-1.297569570464572</v>
      </c>
      <c r="C9">
        <f>SUMPRODUCT(B$2:B$1025, COS(2*PI()*7*(ROW(B$2:B$1025)-1)/1024))</f>
        <v>7.8155375670038421</v>
      </c>
      <c r="D9">
        <f>SUMPRODUCT(B$2:B$1025, -SIN(2*PI()*7*(ROW(B$2:B$1025)-1)/1024))</f>
        <v>-3.8765997989368475</v>
      </c>
      <c r="E9">
        <f t="shared" si="1"/>
        <v>1.3671875E-2</v>
      </c>
      <c r="F9">
        <f t="shared" si="0"/>
        <v>1.7039339824295358E-2</v>
      </c>
    </row>
    <row r="10" spans="1:6">
      <c r="A10">
        <v>4</v>
      </c>
      <c r="B10">
        <v>-1.0449513934821439</v>
      </c>
      <c r="C10">
        <f>SUMPRODUCT(B$2:B$1025, COS(2*PI()*8*(ROW(B$2:B$1025)-1)/1024))</f>
        <v>4.3838592357179493</v>
      </c>
      <c r="D10">
        <f>SUMPRODUCT(B$2:B$1025, -SIN(2*PI()*8*(ROW(B$2:B$1025)-1)/1024))</f>
        <v>3.7326700207085763</v>
      </c>
      <c r="E10">
        <f t="shared" si="1"/>
        <v>1.5625E-2</v>
      </c>
      <c r="F10">
        <f t="shared" si="0"/>
        <v>1.1245497295343547E-2</v>
      </c>
    </row>
    <row r="11" spans="1:6">
      <c r="A11">
        <v>4.5</v>
      </c>
      <c r="B11">
        <v>2.072675642471947E-2</v>
      </c>
      <c r="C11">
        <f>SUMPRODUCT(B$2:B$1025, COS(2*PI()*9*(ROW(B$2:B$1025)-1)/1024))</f>
        <v>4.7144836147449265</v>
      </c>
      <c r="D11">
        <f>SUMPRODUCT(B$2:B$1025, -SIN(2*PI()*9*(ROW(B$2:B$1025)-1)/1024))</f>
        <v>5.4880093585545806</v>
      </c>
      <c r="E11">
        <f t="shared" si="1"/>
        <v>1.7578125E-2</v>
      </c>
      <c r="F11">
        <f t="shared" si="0"/>
        <v>1.4130775347625225E-2</v>
      </c>
    </row>
    <row r="12" spans="1:6">
      <c r="A12">
        <v>5</v>
      </c>
      <c r="B12">
        <v>-9.2683538562492396E-2</v>
      </c>
      <c r="C12">
        <f>SUMPRODUCT(B$2:B$1025, COS(2*PI()*10*(ROW(B$2:B$1025)-1)/1024))</f>
        <v>7.3587794200372834</v>
      </c>
      <c r="D12">
        <f>SUMPRODUCT(B$2:B$1025, -SIN(2*PI()*10*(ROW(B$2:B$1025)-1)/1024))</f>
        <v>9.8879117636328484</v>
      </c>
      <c r="E12">
        <f t="shared" si="1"/>
        <v>1.953125E-2</v>
      </c>
      <c r="F12">
        <f t="shared" si="0"/>
        <v>2.4073597405331226E-2</v>
      </c>
    </row>
    <row r="13" spans="1:6">
      <c r="A13">
        <v>5.5</v>
      </c>
      <c r="B13">
        <v>-5.3606984215784081E-3</v>
      </c>
      <c r="C13">
        <f>SUMPRODUCT(B$2:B$1025, COS(2*PI()*11*(ROW(B$2:B$1025)-1)/1024))</f>
        <v>0.29975828017380457</v>
      </c>
      <c r="D13">
        <f>SUMPRODUCT(B$2:B$1025, -SIN(2*PI()*11*(ROW(B$2:B$1025)-1)/1024))</f>
        <v>-2.5737449479528336</v>
      </c>
      <c r="E13">
        <f t="shared" si="1"/>
        <v>2.1484375E-2</v>
      </c>
      <c r="F13">
        <f t="shared" si="0"/>
        <v>5.0608246783542367E-3</v>
      </c>
    </row>
    <row r="14" spans="1:6">
      <c r="A14">
        <v>6</v>
      </c>
      <c r="B14">
        <v>0.99944897060836002</v>
      </c>
      <c r="C14">
        <f>SUMPRODUCT(B$2:B$1025, COS(2*PI()*12*(ROW(B$2:B$1025)-1)/1024))</f>
        <v>2.2494306636371735</v>
      </c>
      <c r="D14">
        <f>SUMPRODUCT(B$2:B$1025, -SIN(2*PI()*12*(ROW(B$2:B$1025)-1)/1024))</f>
        <v>4.07039241442879</v>
      </c>
      <c r="E14">
        <f t="shared" si="1"/>
        <v>2.34375E-2</v>
      </c>
      <c r="F14">
        <f t="shared" si="0"/>
        <v>9.0831931208146307E-3</v>
      </c>
    </row>
    <row r="15" spans="1:6">
      <c r="A15">
        <v>6.5</v>
      </c>
      <c r="B15">
        <v>1.0684004673635941</v>
      </c>
      <c r="C15">
        <f>SUMPRODUCT(B$2:B$1025, COS(2*PI()*13*(ROW(B$2:B$1025)-1)/1024))</f>
        <v>7.7987955695078366</v>
      </c>
      <c r="D15">
        <f>SUMPRODUCT(B$2:B$1025, -SIN(2*PI()*13*(ROW(B$2:B$1025)-1)/1024))</f>
        <v>1.5908735522001625</v>
      </c>
      <c r="E15">
        <f t="shared" si="1"/>
        <v>2.5390625E-2</v>
      </c>
      <c r="F15">
        <f t="shared" si="0"/>
        <v>1.5545708355899581E-2</v>
      </c>
    </row>
    <row r="16" spans="1:6">
      <c r="A16">
        <v>7</v>
      </c>
      <c r="B16">
        <v>0.24280168578986719</v>
      </c>
      <c r="C16">
        <f>SUMPRODUCT(B$2:B$1025, COS(2*PI()*14*(ROW(B$2:B$1025)-1)/1024))</f>
        <v>4.5716174091488977</v>
      </c>
      <c r="D16">
        <f>SUMPRODUCT(B$2:B$1025, -SIN(2*PI()*14*(ROW(B$2:B$1025)-1)/1024))</f>
        <v>-0.21899542425769639</v>
      </c>
      <c r="E16">
        <f t="shared" si="1"/>
        <v>2.734375E-2</v>
      </c>
      <c r="F16">
        <f t="shared" si="0"/>
        <v>8.9391791054020849E-3</v>
      </c>
    </row>
    <row r="17" spans="1:6">
      <c r="A17">
        <v>7.5</v>
      </c>
      <c r="B17">
        <v>-0.61245750584819403</v>
      </c>
      <c r="C17">
        <f>SUMPRODUCT(B$2:B$1025, COS(2*PI()*15*(ROW(B$2:B$1025)-1)/1024))</f>
        <v>9.6824435543952614</v>
      </c>
      <c r="D17">
        <f>SUMPRODUCT(B$2:B$1025, -SIN(2*PI()*15*(ROW(B$2:B$1025)-1)/1024))</f>
        <v>-3.5319008034086452</v>
      </c>
      <c r="E17">
        <f t="shared" si="1"/>
        <v>2.9296875E-2</v>
      </c>
      <c r="F17">
        <f t="shared" si="0"/>
        <v>2.0129891739961971E-2</v>
      </c>
    </row>
    <row r="18" spans="1:6">
      <c r="A18">
        <v>8</v>
      </c>
      <c r="B18">
        <v>-0.79035147635935799</v>
      </c>
      <c r="C18">
        <f>SUMPRODUCT(B$2:B$1025, COS(2*PI()*16*(ROW(B$2:B$1025)-1)/1024))</f>
        <v>6.6185652467460585</v>
      </c>
      <c r="D18">
        <f>SUMPRODUCT(B$2:B$1025, -SIN(2*PI()*16*(ROW(B$2:B$1025)-1)/1024))</f>
        <v>9.3419278479288472</v>
      </c>
      <c r="E18">
        <f t="shared" si="1"/>
        <v>3.125E-2</v>
      </c>
      <c r="F18">
        <f t="shared" si="0"/>
        <v>2.2361108130064582E-2</v>
      </c>
    </row>
    <row r="19" spans="1:6">
      <c r="A19">
        <v>8.5</v>
      </c>
      <c r="B19">
        <v>-0.38820704977609871</v>
      </c>
      <c r="C19">
        <f>SUMPRODUCT(B$2:B$1025, COS(2*PI()*17*(ROW(B$2:B$1025)-1)/1024))</f>
        <v>12.21920559247763</v>
      </c>
      <c r="D19">
        <f>SUMPRODUCT(B$2:B$1025, -SIN(2*PI()*17*(ROW(B$2:B$1025)-1)/1024))</f>
        <v>2.2758132940128846</v>
      </c>
      <c r="E19">
        <f t="shared" si="1"/>
        <v>3.3203125E-2</v>
      </c>
      <c r="F19">
        <f t="shared" si="0"/>
        <v>2.4276040437006461E-2</v>
      </c>
    </row>
    <row r="20" spans="1:6">
      <c r="A20">
        <v>9</v>
      </c>
      <c r="B20">
        <v>-1.132661331399395</v>
      </c>
      <c r="C20">
        <f>SUMPRODUCT(B$2:B$1025, COS(2*PI()*18*(ROW(B$2:B$1025)-1)/1024))</f>
        <v>-3.4450107395028184E-2</v>
      </c>
      <c r="D20">
        <f>SUMPRODUCT(B$2:B$1025, -SIN(2*PI()*18*(ROW(B$2:B$1025)-1)/1024))</f>
        <v>5.3040394407433942</v>
      </c>
      <c r="E20">
        <f t="shared" si="1"/>
        <v>3.515625E-2</v>
      </c>
      <c r="F20">
        <f t="shared" si="0"/>
        <v>1.0359670541978203E-2</v>
      </c>
    </row>
    <row r="21" spans="1:6">
      <c r="A21">
        <v>9.5</v>
      </c>
      <c r="B21">
        <v>-1.3702459925595321</v>
      </c>
      <c r="C21">
        <f>SUMPRODUCT(B$2:B$1025, COS(2*PI()*19*(ROW(B$2:B$1025)-1)/1024))</f>
        <v>7.2584848827631614</v>
      </c>
      <c r="D21">
        <f>SUMPRODUCT(B$2:B$1025, -SIN(2*PI()*19*(ROW(B$2:B$1025)-1)/1024))</f>
        <v>2.7434351787189142</v>
      </c>
      <c r="E21">
        <f t="shared" si="1"/>
        <v>3.7109375E-2</v>
      </c>
      <c r="F21">
        <f t="shared" si="0"/>
        <v>1.5155550202958598E-2</v>
      </c>
    </row>
    <row r="22" spans="1:6">
      <c r="A22">
        <v>10</v>
      </c>
      <c r="B22">
        <v>0.29312975378430972</v>
      </c>
      <c r="C22">
        <f>SUMPRODUCT(B$2:B$1025, COS(2*PI()*20*(ROW(B$2:B$1025)-1)/1024))</f>
        <v>7.4432393219561401</v>
      </c>
      <c r="D22">
        <f>SUMPRODUCT(B$2:B$1025, -SIN(2*PI()*20*(ROW(B$2:B$1025)-1)/1024))</f>
        <v>-3.936726131468931</v>
      </c>
      <c r="E22">
        <f t="shared" si="1"/>
        <v>3.90625E-2</v>
      </c>
      <c r="F22">
        <f t="shared" si="0"/>
        <v>1.6445686447057691E-2</v>
      </c>
    </row>
    <row r="23" spans="1:6">
      <c r="A23">
        <v>10.5</v>
      </c>
      <c r="B23">
        <v>1.0426299921951661</v>
      </c>
      <c r="C23">
        <f>SUMPRODUCT(B$2:B$1025, COS(2*PI()*21*(ROW(B$2:B$1025)-1)/1024))</f>
        <v>-4.7781838287458971</v>
      </c>
      <c r="D23">
        <f>SUMPRODUCT(B$2:B$1025, -SIN(2*PI()*21*(ROW(B$2:B$1025)-1)/1024))</f>
        <v>4.0024250145993001</v>
      </c>
      <c r="E23">
        <f t="shared" si="1"/>
        <v>4.1015625E-2</v>
      </c>
      <c r="F23">
        <f t="shared" si="0"/>
        <v>1.2173852832613925E-2</v>
      </c>
    </row>
    <row r="24" spans="1:6">
      <c r="A24">
        <v>11</v>
      </c>
      <c r="B24">
        <v>0.96456215723274064</v>
      </c>
      <c r="C24">
        <f>SUMPRODUCT(B$2:B$1025, COS(2*PI()*22*(ROW(B$2:B$1025)-1)/1024))</f>
        <v>-1.0478087304572385</v>
      </c>
      <c r="D24">
        <f>SUMPRODUCT(B$2:B$1025, -SIN(2*PI()*22*(ROW(B$2:B$1025)-1)/1024))</f>
        <v>2.0167390378205874</v>
      </c>
      <c r="E24">
        <f t="shared" si="1"/>
        <v>4.296875E-2</v>
      </c>
      <c r="F24">
        <f t="shared" si="0"/>
        <v>4.4388560981035094E-3</v>
      </c>
    </row>
    <row r="25" spans="1:6">
      <c r="A25">
        <v>11.5</v>
      </c>
      <c r="B25">
        <v>0.16610687905246249</v>
      </c>
      <c r="C25">
        <f>SUMPRODUCT(B$2:B$1025, COS(2*PI()*23*(ROW(B$2:B$1025)-1)/1024))</f>
        <v>-3.9918375207089141</v>
      </c>
      <c r="D25">
        <f>SUMPRODUCT(B$2:B$1025, -SIN(2*PI()*23*(ROW(B$2:B$1025)-1)/1024))</f>
        <v>1.3732886453729765</v>
      </c>
      <c r="E25">
        <f t="shared" si="1"/>
        <v>4.4921875E-2</v>
      </c>
      <c r="F25">
        <f t="shared" si="0"/>
        <v>8.2450307261031138E-3</v>
      </c>
    </row>
    <row r="26" spans="1:6">
      <c r="A26">
        <v>12</v>
      </c>
      <c r="B26">
        <v>0.47890870738743629</v>
      </c>
      <c r="C26">
        <f>SUMPRODUCT(B$2:B$1025, COS(2*PI()*24*(ROW(B$2:B$1025)-1)/1024))</f>
        <v>4.1192149108732927</v>
      </c>
      <c r="D26">
        <f>SUMPRODUCT(B$2:B$1025, -SIN(2*PI()*24*(ROW(B$2:B$1025)-1)/1024))</f>
        <v>4.1240460856546139</v>
      </c>
      <c r="E26">
        <f t="shared" si="1"/>
        <v>4.6875E-2</v>
      </c>
      <c r="F26">
        <f t="shared" si="0"/>
        <v>1.1384505372653278E-2</v>
      </c>
    </row>
    <row r="27" spans="1:6">
      <c r="A27">
        <v>12.5</v>
      </c>
      <c r="B27">
        <v>0.52218451794197374</v>
      </c>
      <c r="C27">
        <f>SUMPRODUCT(B$2:B$1025, COS(2*PI()*25*(ROW(B$2:B$1025)-1)/1024))</f>
        <v>5.7924132184446737</v>
      </c>
      <c r="D27">
        <f>SUMPRODUCT(B$2:B$1025, -SIN(2*PI()*25*(ROW(B$2:B$1025)-1)/1024))</f>
        <v>-0.73215220327185238</v>
      </c>
      <c r="E27">
        <f t="shared" si="1"/>
        <v>4.8828125E-2</v>
      </c>
      <c r="F27">
        <f t="shared" si="0"/>
        <v>1.1403322903726117E-2</v>
      </c>
    </row>
    <row r="28" spans="1:6">
      <c r="A28">
        <v>13</v>
      </c>
      <c r="B28">
        <v>-0.81798396777693416</v>
      </c>
      <c r="C28">
        <f>SUMPRODUCT(B$2:B$1025, COS(2*PI()*26*(ROW(B$2:B$1025)-1)/1024))</f>
        <v>-1.5725481557660435</v>
      </c>
      <c r="D28">
        <f>SUMPRODUCT(B$2:B$1025, -SIN(2*PI()*26*(ROW(B$2:B$1025)-1)/1024))</f>
        <v>-0.70230478783448713</v>
      </c>
      <c r="E28">
        <f t="shared" si="1"/>
        <v>5.078125E-2</v>
      </c>
      <c r="F28">
        <f t="shared" si="0"/>
        <v>3.3637665003288875E-3</v>
      </c>
    </row>
    <row r="29" spans="1:6">
      <c r="A29">
        <v>13.5</v>
      </c>
      <c r="B29">
        <v>-1.3759169126260189</v>
      </c>
      <c r="C29">
        <f>SUMPRODUCT(B$2:B$1025, COS(2*PI()*27*(ROW(B$2:B$1025)-1)/1024))</f>
        <v>-3.1478091496227711</v>
      </c>
      <c r="D29">
        <f>SUMPRODUCT(B$2:B$1025, -SIN(2*PI()*27*(ROW(B$2:B$1025)-1)/1024))</f>
        <v>-7.2359210708052464</v>
      </c>
      <c r="E29">
        <f t="shared" si="1"/>
        <v>5.2734375E-2</v>
      </c>
      <c r="F29">
        <f t="shared" si="0"/>
        <v>1.5412032049937822E-2</v>
      </c>
    </row>
    <row r="30" spans="1:6">
      <c r="A30">
        <v>14</v>
      </c>
      <c r="B30">
        <v>-1.0711842542789161</v>
      </c>
      <c r="C30">
        <f>SUMPRODUCT(B$2:B$1025, COS(2*PI()*28*(ROW(B$2:B$1025)-1)/1024))</f>
        <v>7.354526528146156</v>
      </c>
      <c r="D30">
        <f>SUMPRODUCT(B$2:B$1025, -SIN(2*PI()*28*(ROW(B$2:B$1025)-1)/1024))</f>
        <v>0.78688621145441295</v>
      </c>
      <c r="E30">
        <f t="shared" si="1"/>
        <v>5.46875E-2</v>
      </c>
      <c r="F30">
        <f t="shared" si="0"/>
        <v>1.4446294094569644E-2</v>
      </c>
    </row>
    <row r="31" spans="1:6">
      <c r="A31">
        <v>14.5</v>
      </c>
      <c r="B31">
        <v>-0.14612400225112909</v>
      </c>
      <c r="C31">
        <f>SUMPRODUCT(B$2:B$1025, COS(2*PI()*29*(ROW(B$2:B$1025)-1)/1024))</f>
        <v>5.6573211440727018</v>
      </c>
      <c r="D31">
        <f>SUMPRODUCT(B$2:B$1025, -SIN(2*PI()*29*(ROW(B$2:B$1025)-1)/1024))</f>
        <v>-1.9318610776991028</v>
      </c>
      <c r="E31">
        <f t="shared" si="1"/>
        <v>5.6640625E-2</v>
      </c>
      <c r="F31">
        <f t="shared" si="0"/>
        <v>1.1675925944807458E-2</v>
      </c>
    </row>
    <row r="32" spans="1:6">
      <c r="A32">
        <v>15</v>
      </c>
      <c r="B32">
        <v>-0.12034132244587741</v>
      </c>
      <c r="C32">
        <f>SUMPRODUCT(B$2:B$1025, COS(2*PI()*30*(ROW(B$2:B$1025)-1)/1024))</f>
        <v>7.3768283930878304</v>
      </c>
      <c r="D32">
        <f>SUMPRODUCT(B$2:B$1025, -SIN(2*PI()*30*(ROW(B$2:B$1025)-1)/1024))</f>
        <v>-10.734305448235304</v>
      </c>
      <c r="E32">
        <f t="shared" si="1"/>
        <v>5.859375E-2</v>
      </c>
      <c r="F32">
        <f t="shared" si="0"/>
        <v>2.5438874723292124E-2</v>
      </c>
    </row>
    <row r="33" spans="1:6">
      <c r="A33">
        <v>15.5</v>
      </c>
      <c r="B33">
        <v>0.45824088919426009</v>
      </c>
      <c r="C33">
        <f>SUMPRODUCT(B$2:B$1025, COS(2*PI()*31*(ROW(B$2:B$1025)-1)/1024))</f>
        <v>4.4829641281316803</v>
      </c>
      <c r="D33">
        <f>SUMPRODUCT(B$2:B$1025, -SIN(2*PI()*31*(ROW(B$2:B$1025)-1)/1024))</f>
        <v>3.5070498614179244</v>
      </c>
      <c r="E33">
        <f t="shared" si="1"/>
        <v>6.0546875E-2</v>
      </c>
      <c r="F33">
        <f t="shared" si="0"/>
        <v>1.111675893394087E-2</v>
      </c>
    </row>
    <row r="34" spans="1:6">
      <c r="A34">
        <v>16</v>
      </c>
      <c r="B34">
        <v>0.94835707134756553</v>
      </c>
      <c r="C34">
        <f>SUMPRODUCT(B$2:B$1025, COS(2*PI()*32*(ROW(B$2:B$1025)-1)/1024))</f>
        <v>0.51872557986393808</v>
      </c>
      <c r="D34">
        <f>SUMPRODUCT(B$2:B$1025, -SIN(2*PI()*32*(ROW(B$2:B$1025)-1)/1024))</f>
        <v>0.34820970806702822</v>
      </c>
      <c r="E34">
        <f t="shared" si="1"/>
        <v>6.25E-2</v>
      </c>
      <c r="F34">
        <f t="shared" si="0"/>
        <v>1.220236204446924E-3</v>
      </c>
    </row>
    <row r="35" spans="1:6">
      <c r="A35">
        <v>16.5</v>
      </c>
      <c r="B35">
        <v>1.239514330503974</v>
      </c>
      <c r="C35">
        <f>SUMPRODUCT(B$2:B$1025, COS(2*PI()*33*(ROW(B$2:B$1025)-1)/1024))</f>
        <v>6.5347289270881284</v>
      </c>
      <c r="D35">
        <f>SUMPRODUCT(B$2:B$1025, -SIN(2*PI()*33*(ROW(B$2:B$1025)-1)/1024))</f>
        <v>4.317440676012569</v>
      </c>
      <c r="E35">
        <f t="shared" si="1"/>
        <v>6.4453125E-2</v>
      </c>
      <c r="F35">
        <f t="shared" si="0"/>
        <v>1.5297218157297007E-2</v>
      </c>
    </row>
    <row r="36" spans="1:6">
      <c r="A36">
        <v>17</v>
      </c>
      <c r="B36">
        <v>0.75229423471311085</v>
      </c>
      <c r="C36">
        <f>SUMPRODUCT(B$2:B$1025, COS(2*PI()*34*(ROW(B$2:B$1025)-1)/1024))</f>
        <v>6.258037314804298</v>
      </c>
      <c r="D36">
        <f>SUMPRODUCT(B$2:B$1025, -SIN(2*PI()*34*(ROW(B$2:B$1025)-1)/1024))</f>
        <v>-2.9488959471107328</v>
      </c>
      <c r="E36">
        <f t="shared" si="1"/>
        <v>6.640625E-2</v>
      </c>
      <c r="F36">
        <f t="shared" si="0"/>
        <v>1.3511760299772295E-2</v>
      </c>
    </row>
    <row r="37" spans="1:6">
      <c r="A37">
        <v>17.5</v>
      </c>
      <c r="B37">
        <v>-0.74416872999420358</v>
      </c>
      <c r="C37">
        <f>SUMPRODUCT(B$2:B$1025, COS(2*PI()*35*(ROW(B$2:B$1025)-1)/1024))</f>
        <v>4.7759771638156838</v>
      </c>
      <c r="D37">
        <f>SUMPRODUCT(B$2:B$1025, -SIN(2*PI()*35*(ROW(B$2:B$1025)-1)/1024))</f>
        <v>-7.3912572755831736</v>
      </c>
      <c r="E37">
        <f t="shared" si="1"/>
        <v>6.8359375E-2</v>
      </c>
      <c r="F37">
        <f t="shared" si="0"/>
        <v>1.7187571242655759E-2</v>
      </c>
    </row>
    <row r="38" spans="1:6">
      <c r="A38">
        <v>18</v>
      </c>
      <c r="B38">
        <v>-0.54601253329152244</v>
      </c>
      <c r="C38">
        <f>SUMPRODUCT(B$2:B$1025, COS(2*PI()*36*(ROW(B$2:B$1025)-1)/1024))</f>
        <v>9.3222473337843503</v>
      </c>
      <c r="D38">
        <f>SUMPRODUCT(B$2:B$1025, -SIN(2*PI()*36*(ROW(B$2:B$1025)-1)/1024))</f>
        <v>1.3363476792603255</v>
      </c>
      <c r="E38">
        <f t="shared" si="1"/>
        <v>7.03125E-2</v>
      </c>
      <c r="F38">
        <f t="shared" si="0"/>
        <v>1.8393639119351143E-2</v>
      </c>
    </row>
    <row r="39" spans="1:6">
      <c r="A39">
        <v>18.5</v>
      </c>
      <c r="B39">
        <v>-0.84299054107110849</v>
      </c>
      <c r="C39">
        <f>SUMPRODUCT(B$2:B$1025, COS(2*PI()*37*(ROW(B$2:B$1025)-1)/1024))</f>
        <v>1.0783221286721303</v>
      </c>
      <c r="D39">
        <f>SUMPRODUCT(B$2:B$1025, -SIN(2*PI()*37*(ROW(B$2:B$1025)-1)/1024))</f>
        <v>-0.45658398624626406</v>
      </c>
      <c r="E39">
        <f t="shared" si="1"/>
        <v>7.2265625E-2</v>
      </c>
      <c r="F39">
        <f t="shared" si="0"/>
        <v>2.2871148371389821E-3</v>
      </c>
    </row>
    <row r="40" spans="1:6">
      <c r="A40">
        <v>19</v>
      </c>
      <c r="B40">
        <v>-1.2166937260748369</v>
      </c>
      <c r="C40">
        <f>SUMPRODUCT(B$2:B$1025, COS(2*PI()*38*(ROW(B$2:B$1025)-1)/1024))</f>
        <v>-2.3257943931431577</v>
      </c>
      <c r="D40">
        <f>SUMPRODUCT(B$2:B$1025, -SIN(2*PI()*38*(ROW(B$2:B$1025)-1)/1024))</f>
        <v>-3.9935055816833431</v>
      </c>
      <c r="E40">
        <f t="shared" si="1"/>
        <v>7.421875E-2</v>
      </c>
      <c r="F40">
        <f t="shared" si="0"/>
        <v>9.0261863351696215E-3</v>
      </c>
    </row>
    <row r="41" spans="1:6">
      <c r="A41">
        <v>19.5</v>
      </c>
      <c r="B41">
        <v>-1.0484130051186491</v>
      </c>
      <c r="C41">
        <f>SUMPRODUCT(B$2:B$1025, COS(2*PI()*39*(ROW(B$2:B$1025)-1)/1024))</f>
        <v>9.0588177329967259</v>
      </c>
      <c r="D41">
        <f>SUMPRODUCT(B$2:B$1025, -SIN(2*PI()*39*(ROW(B$2:B$1025)-1)/1024))</f>
        <v>-2.8151118370524713</v>
      </c>
      <c r="E41">
        <f t="shared" si="1"/>
        <v>7.6171875E-2</v>
      </c>
      <c r="F41">
        <f t="shared" si="0"/>
        <v>1.8527635849088692E-2</v>
      </c>
    </row>
    <row r="42" spans="1:6">
      <c r="A42">
        <v>20</v>
      </c>
      <c r="B42">
        <v>0.14769331599907989</v>
      </c>
      <c r="C42">
        <f>SUMPRODUCT(B$2:B$1025, COS(2*PI()*40*(ROW(B$2:B$1025)-1)/1024))</f>
        <v>1.8578570344145366</v>
      </c>
      <c r="D42">
        <f>SUMPRODUCT(B$2:B$1025, -SIN(2*PI()*40*(ROW(B$2:B$1025)-1)/1024))</f>
        <v>1.0825705494322377</v>
      </c>
      <c r="E42">
        <f t="shared" si="1"/>
        <v>7.8125E-2</v>
      </c>
      <c r="F42">
        <f t="shared" si="0"/>
        <v>4.1997146122664374E-3</v>
      </c>
    </row>
    <row r="43" spans="1:6">
      <c r="A43">
        <v>20.5</v>
      </c>
      <c r="B43">
        <v>1.122058908530466</v>
      </c>
      <c r="C43">
        <f>SUMPRODUCT(B$2:B$1025, COS(2*PI()*41*(ROW(B$2:B$1025)-1)/1024))</f>
        <v>-0.2376295442977514</v>
      </c>
      <c r="D43">
        <f>SUMPRODUCT(B$2:B$1025, -SIN(2*PI()*41*(ROW(B$2:B$1025)-1)/1024))</f>
        <v>-1.2962993032570029</v>
      </c>
      <c r="E43">
        <f t="shared" si="1"/>
        <v>8.0078125E-2</v>
      </c>
      <c r="F43">
        <f t="shared" si="0"/>
        <v>2.5740228994959964E-3</v>
      </c>
    </row>
    <row r="44" spans="1:6">
      <c r="A44">
        <v>21</v>
      </c>
      <c r="B44">
        <v>0.92792685981750478</v>
      </c>
      <c r="C44">
        <f>SUMPRODUCT(B$2:B$1025, COS(2*PI()*42*(ROW(B$2:B$1025)-1)/1024))</f>
        <v>-4.3326594461472734</v>
      </c>
      <c r="D44">
        <f>SUMPRODUCT(B$2:B$1025, -SIN(2*PI()*42*(ROW(B$2:B$1025)-1)/1024))</f>
        <v>-6.2994627721221041</v>
      </c>
      <c r="E44">
        <f t="shared" si="1"/>
        <v>8.203125E-2</v>
      </c>
      <c r="F44">
        <f t="shared" si="0"/>
        <v>1.4932808634117068E-2</v>
      </c>
    </row>
    <row r="45" spans="1:6">
      <c r="A45">
        <v>21.5</v>
      </c>
      <c r="B45">
        <v>0.39083577717729617</v>
      </c>
      <c r="C45">
        <f>SUMPRODUCT(B$2:B$1025, COS(2*PI()*43*(ROW(B$2:B$1025)-1)/1024))</f>
        <v>-0.66665255880284979</v>
      </c>
      <c r="D45">
        <f>SUMPRODUCT(B$2:B$1025, -SIN(2*PI()*43*(ROW(B$2:B$1025)-1)/1024))</f>
        <v>-0.75339179358050845</v>
      </c>
      <c r="E45">
        <f t="shared" si="1"/>
        <v>8.3984375E-2</v>
      </c>
      <c r="F45">
        <f t="shared" si="0"/>
        <v>1.9648329056539808E-3</v>
      </c>
    </row>
    <row r="46" spans="1:6">
      <c r="A46">
        <v>22</v>
      </c>
      <c r="B46">
        <v>0.29208085421898372</v>
      </c>
      <c r="C46">
        <f>SUMPRODUCT(B$2:B$1025, COS(2*PI()*44*(ROW(B$2:B$1025)-1)/1024))</f>
        <v>10.277926312543766</v>
      </c>
      <c r="D46">
        <f>SUMPRODUCT(B$2:B$1025, -SIN(2*PI()*44*(ROW(B$2:B$1025)-1)/1024))</f>
        <v>-6.0638766390052172</v>
      </c>
      <c r="E46">
        <f t="shared" si="1"/>
        <v>8.59375E-2</v>
      </c>
      <c r="F46">
        <f t="shared" si="0"/>
        <v>2.3307449176503594E-2</v>
      </c>
    </row>
    <row r="47" spans="1:6">
      <c r="A47">
        <v>22.5</v>
      </c>
      <c r="B47">
        <v>0.35603115832105919</v>
      </c>
      <c r="C47">
        <f>SUMPRODUCT(B$2:B$1025, COS(2*PI()*45*(ROW(B$2:B$1025)-1)/1024))</f>
        <v>2.0468331367039001</v>
      </c>
      <c r="D47">
        <f>SUMPRODUCT(B$2:B$1025, -SIN(2*PI()*45*(ROW(B$2:B$1025)-1)/1024))</f>
        <v>-8.8115894634474969</v>
      </c>
      <c r="E47">
        <f t="shared" si="1"/>
        <v>8.7890625E-2</v>
      </c>
      <c r="F47">
        <f t="shared" si="0"/>
        <v>1.766834861446244E-2</v>
      </c>
    </row>
    <row r="48" spans="1:6">
      <c r="A48">
        <v>23</v>
      </c>
      <c r="B48">
        <v>-0.67991300648442654</v>
      </c>
      <c r="C48">
        <f>SUMPRODUCT(B$2:B$1025, COS(2*PI()*46*(ROW(B$2:B$1025)-1)/1024))</f>
        <v>7.4589297772827283</v>
      </c>
      <c r="D48">
        <f>SUMPRODUCT(B$2:B$1025, -SIN(2*PI()*46*(ROW(B$2:B$1025)-1)/1024))</f>
        <v>-10.276197034121964</v>
      </c>
      <c r="E48">
        <f t="shared" si="1"/>
        <v>8.984375E-2</v>
      </c>
      <c r="F48">
        <f t="shared" si="0"/>
        <v>2.4800523988243593E-2</v>
      </c>
    </row>
    <row r="49" spans="1:6">
      <c r="A49">
        <v>23.5</v>
      </c>
      <c r="B49">
        <v>-1.23963207105137</v>
      </c>
      <c r="C49">
        <f>SUMPRODUCT(B$2:B$1025, COS(2*PI()*47*(ROW(B$2:B$1025)-1)/1024))</f>
        <v>4.6360496429162961</v>
      </c>
      <c r="D49">
        <f>SUMPRODUCT(B$2:B$1025, -SIN(2*PI()*47*(ROW(B$2:B$1025)-1)/1024))</f>
        <v>-4.6837332245109629E-2</v>
      </c>
      <c r="E49">
        <f t="shared" si="1"/>
        <v>9.1796875E-2</v>
      </c>
      <c r="F49">
        <f t="shared" si="0"/>
        <v>9.0552465473475383E-3</v>
      </c>
    </row>
    <row r="50" spans="1:6">
      <c r="A50">
        <v>24</v>
      </c>
      <c r="B50">
        <v>-0.88233285838146314</v>
      </c>
      <c r="C50">
        <f>SUMPRODUCT(B$2:B$1025, COS(2*PI()*48*(ROW(B$2:B$1025)-1)/1024))</f>
        <v>-2.1831034846159607</v>
      </c>
      <c r="D50">
        <f>SUMPRODUCT(B$2:B$1025, -SIN(2*PI()*48*(ROW(B$2:B$1025)-1)/1024))</f>
        <v>-3.0185953633131577</v>
      </c>
      <c r="E50">
        <f t="shared" si="1"/>
        <v>9.375E-2</v>
      </c>
      <c r="F50">
        <f t="shared" si="0"/>
        <v>7.2759762222269677E-3</v>
      </c>
    </row>
    <row r="51" spans="1:6">
      <c r="A51">
        <v>24.5</v>
      </c>
      <c r="B51">
        <v>-0.44039328336502098</v>
      </c>
      <c r="C51">
        <f>SUMPRODUCT(B$2:B$1025, COS(2*PI()*49*(ROW(B$2:B$1025)-1)/1024))</f>
        <v>6.2963337995310695</v>
      </c>
      <c r="D51">
        <f>SUMPRODUCT(B$2:B$1025, -SIN(2*PI()*49*(ROW(B$2:B$1025)-1)/1024))</f>
        <v>-5.8713318876834091</v>
      </c>
      <c r="E51">
        <f t="shared" si="1"/>
        <v>9.5703125E-2</v>
      </c>
      <c r="F51">
        <f t="shared" si="0"/>
        <v>1.6814620605422506E-2</v>
      </c>
    </row>
    <row r="52" spans="1:6">
      <c r="A52">
        <v>25</v>
      </c>
      <c r="B52">
        <v>6.4816793878957529E-2</v>
      </c>
      <c r="C52">
        <f>SUMPRODUCT(B$2:B$1025, COS(2*PI()*50*(ROW(B$2:B$1025)-1)/1024))</f>
        <v>2.5768049097279642</v>
      </c>
      <c r="D52">
        <f>SUMPRODUCT(B$2:B$1025, -SIN(2*PI()*50*(ROW(B$2:B$1025)-1)/1024))</f>
        <v>-12.605501029309337</v>
      </c>
      <c r="E52">
        <f t="shared" si="1"/>
        <v>9.765625E-2</v>
      </c>
      <c r="F52">
        <f t="shared" si="0"/>
        <v>2.5129257201516885E-2</v>
      </c>
    </row>
    <row r="53" spans="1:6">
      <c r="A53">
        <v>25.5</v>
      </c>
      <c r="B53">
        <v>1.076879620920594E-2</v>
      </c>
      <c r="C53">
        <f>SUMPRODUCT(B$2:B$1025, COS(2*PI()*51*(ROW(B$2:B$1025)-1)/1024))</f>
        <v>5.4178672761678168</v>
      </c>
      <c r="D53">
        <f>SUMPRODUCT(B$2:B$1025, -SIN(2*PI()*51*(ROW(B$2:B$1025)-1)/1024))</f>
        <v>3.8674575161257354</v>
      </c>
      <c r="E53">
        <f t="shared" si="1"/>
        <v>9.9609375E-2</v>
      </c>
      <c r="F53">
        <f t="shared" si="0"/>
        <v>1.3001199734597884E-2</v>
      </c>
    </row>
    <row r="54" spans="1:6">
      <c r="A54">
        <v>26</v>
      </c>
      <c r="B54">
        <v>0.81567211623396341</v>
      </c>
      <c r="C54">
        <f>SUMPRODUCT(B$2:B$1025, COS(2*PI()*52*(ROW(B$2:B$1025)-1)/1024))</f>
        <v>4.934040497659387</v>
      </c>
      <c r="D54">
        <f>SUMPRODUCT(B$2:B$1025, -SIN(2*PI()*52*(ROW(B$2:B$1025)-1)/1024))</f>
        <v>-4.0874751564697824</v>
      </c>
      <c r="E54">
        <f t="shared" si="1"/>
        <v>0.1015625</v>
      </c>
      <c r="F54">
        <f t="shared" si="0"/>
        <v>1.2514062034718465E-2</v>
      </c>
    </row>
    <row r="55" spans="1:6">
      <c r="A55">
        <v>26.5</v>
      </c>
      <c r="B55">
        <v>1.5733917740633261</v>
      </c>
      <c r="C55">
        <f>SUMPRODUCT(B$2:B$1025, COS(2*PI()*53*(ROW(B$2:B$1025)-1)/1024))</f>
        <v>4.8402697330023177</v>
      </c>
      <c r="D55">
        <f>SUMPRODUCT(B$2:B$1025, -SIN(2*PI()*53*(ROW(B$2:B$1025)-1)/1024))</f>
        <v>-2.0443820916137501</v>
      </c>
      <c r="E55">
        <f t="shared" si="1"/>
        <v>0.103515625</v>
      </c>
      <c r="F55">
        <f t="shared" si="0"/>
        <v>1.0262312258440837E-2</v>
      </c>
    </row>
    <row r="56" spans="1:6">
      <c r="A56">
        <v>27</v>
      </c>
      <c r="B56">
        <v>0.79398515679166792</v>
      </c>
      <c r="C56">
        <f>SUMPRODUCT(B$2:B$1025, COS(2*PI()*54*(ROW(B$2:B$1025)-1)/1024))</f>
        <v>-0.25600954232608308</v>
      </c>
      <c r="D56">
        <f>SUMPRODUCT(B$2:B$1025, -SIN(2*PI()*54*(ROW(B$2:B$1025)-1)/1024))</f>
        <v>-2.5455676699270646</v>
      </c>
      <c r="E56">
        <f t="shared" si="1"/>
        <v>0.10546875</v>
      </c>
      <c r="F56">
        <f t="shared" si="0"/>
        <v>4.9968922104109978E-3</v>
      </c>
    </row>
    <row r="57" spans="1:6">
      <c r="A57">
        <v>27.5</v>
      </c>
      <c r="B57">
        <v>-0.31374397617675531</v>
      </c>
      <c r="C57">
        <f>SUMPRODUCT(B$2:B$1025, COS(2*PI()*55*(ROW(B$2:B$1025)-1)/1024))</f>
        <v>1.9728943880538168</v>
      </c>
      <c r="D57">
        <f>SUMPRODUCT(B$2:B$1025, -SIN(2*PI()*55*(ROW(B$2:B$1025)-1)/1024))</f>
        <v>-0.84229631120822557</v>
      </c>
      <c r="E57">
        <f t="shared" si="1"/>
        <v>0.107421875</v>
      </c>
      <c r="F57">
        <f t="shared" si="0"/>
        <v>4.189794722328442E-3</v>
      </c>
    </row>
    <row r="58" spans="1:6">
      <c r="A58">
        <v>28</v>
      </c>
      <c r="B58">
        <v>-0.75562875693700138</v>
      </c>
      <c r="C58">
        <f>SUMPRODUCT(B$2:B$1025, COS(2*PI()*56*(ROW(B$2:B$1025)-1)/1024))</f>
        <v>8.6557172362169474</v>
      </c>
      <c r="D58">
        <f>SUMPRODUCT(B$2:B$1025, -SIN(2*PI()*56*(ROW(B$2:B$1025)-1)/1024))</f>
        <v>1.0059255807297796</v>
      </c>
      <c r="E58">
        <f t="shared" si="1"/>
        <v>0.109375</v>
      </c>
      <c r="F58">
        <f t="shared" si="0"/>
        <v>1.7019478706430783E-2</v>
      </c>
    </row>
    <row r="59" spans="1:6">
      <c r="A59">
        <v>28.5</v>
      </c>
      <c r="B59">
        <v>-0.51289899146539719</v>
      </c>
      <c r="C59">
        <f>SUMPRODUCT(B$2:B$1025, COS(2*PI()*57*(ROW(B$2:B$1025)-1)/1024))</f>
        <v>5.0558460311616731</v>
      </c>
      <c r="D59">
        <f>SUMPRODUCT(B$2:B$1025, -SIN(2*PI()*57*(ROW(B$2:B$1025)-1)/1024))</f>
        <v>3.123339703625899</v>
      </c>
      <c r="E59">
        <f t="shared" si="1"/>
        <v>0.111328125</v>
      </c>
      <c r="F59">
        <f t="shared" si="0"/>
        <v>1.1607024373744338E-2</v>
      </c>
    </row>
    <row r="60" spans="1:6">
      <c r="A60">
        <v>29</v>
      </c>
      <c r="B60">
        <v>-0.88480383001444118</v>
      </c>
      <c r="C60">
        <f>SUMPRODUCT(B$2:B$1025, COS(2*PI()*58*(ROW(B$2:B$1025)-1)/1024))</f>
        <v>7.1654584993619466</v>
      </c>
      <c r="D60">
        <f>SUMPRODUCT(B$2:B$1025, -SIN(2*PI()*58*(ROW(B$2:B$1025)-1)/1024))</f>
        <v>-2.8596433673869761</v>
      </c>
      <c r="E60">
        <f t="shared" si="1"/>
        <v>0.11328125</v>
      </c>
      <c r="F60">
        <f t="shared" si="0"/>
        <v>1.5068375918291139E-2</v>
      </c>
    </row>
    <row r="61" spans="1:6">
      <c r="A61">
        <v>29.5</v>
      </c>
      <c r="B61">
        <v>-0.8926762268680053</v>
      </c>
      <c r="C61">
        <f>SUMPRODUCT(B$2:B$1025, COS(2*PI()*59*(ROW(B$2:B$1025)-1)/1024))</f>
        <v>-1.7543908554974568</v>
      </c>
      <c r="D61">
        <f>SUMPRODUCT(B$2:B$1025, -SIN(2*PI()*59*(ROW(B$2:B$1025)-1)/1024))</f>
        <v>-5.3716204926084474</v>
      </c>
      <c r="E61">
        <f t="shared" si="1"/>
        <v>0.115234375</v>
      </c>
      <c r="F61">
        <f t="shared" si="0"/>
        <v>1.1036831660437271E-2</v>
      </c>
    </row>
    <row r="62" spans="1:6">
      <c r="A62">
        <v>30</v>
      </c>
      <c r="B62">
        <v>-9.5834847569064852E-2</v>
      </c>
      <c r="C62">
        <f>SUMPRODUCT(B$2:B$1025, COS(2*PI()*60*(ROW(B$2:B$1025)-1)/1024))</f>
        <v>4.0248949393492515</v>
      </c>
      <c r="D62">
        <f>SUMPRODUCT(B$2:B$1025, -SIN(2*PI()*60*(ROW(B$2:B$1025)-1)/1024))</f>
        <v>-4.5344144481416189</v>
      </c>
      <c r="E62">
        <f t="shared" si="1"/>
        <v>0.1171875</v>
      </c>
      <c r="F62">
        <f t="shared" si="0"/>
        <v>1.1841913594874803E-2</v>
      </c>
    </row>
    <row r="63" spans="1:6">
      <c r="A63">
        <v>30.5</v>
      </c>
      <c r="B63">
        <v>1.050653456959711</v>
      </c>
      <c r="C63">
        <f>SUMPRODUCT(B$2:B$1025, COS(2*PI()*61*(ROW(B$2:B$1025)-1)/1024))</f>
        <v>2.4848372665680483</v>
      </c>
      <c r="D63">
        <f>SUMPRODUCT(B$2:B$1025, -SIN(2*PI()*61*(ROW(B$2:B$1025)-1)/1024))</f>
        <v>-6.4682891958089899</v>
      </c>
      <c r="E63">
        <f t="shared" si="1"/>
        <v>0.119140625</v>
      </c>
      <c r="F63">
        <f t="shared" si="0"/>
        <v>1.3533504780926764E-2</v>
      </c>
    </row>
    <row r="64" spans="1:6">
      <c r="A64">
        <v>31</v>
      </c>
      <c r="B64">
        <v>0.72978952149395115</v>
      </c>
      <c r="C64">
        <f>SUMPRODUCT(B$2:B$1025, COS(2*PI()*62*(ROW(B$2:B$1025)-1)/1024))</f>
        <v>0.60608207874935816</v>
      </c>
      <c r="D64">
        <f>SUMPRODUCT(B$2:B$1025, -SIN(2*PI()*62*(ROW(B$2:B$1025)-1)/1024))</f>
        <v>-2.2618858223076459</v>
      </c>
      <c r="E64">
        <f t="shared" si="1"/>
        <v>0.12109375</v>
      </c>
      <c r="F64">
        <f t="shared" si="0"/>
        <v>4.5735928062236421E-3</v>
      </c>
    </row>
    <row r="65" spans="1:6">
      <c r="A65">
        <v>31.5</v>
      </c>
      <c r="B65">
        <v>0.21181519147902109</v>
      </c>
      <c r="C65">
        <f>SUMPRODUCT(B$2:B$1025, COS(2*PI()*63*(ROW(B$2:B$1025)-1)/1024))</f>
        <v>2.6427440722002222</v>
      </c>
      <c r="D65">
        <f>SUMPRODUCT(B$2:B$1025, -SIN(2*PI()*63*(ROW(B$2:B$1025)-1)/1024))</f>
        <v>-6.8901148494620399</v>
      </c>
      <c r="E65">
        <f t="shared" si="1"/>
        <v>0.123046875</v>
      </c>
      <c r="F65">
        <f t="shared" si="0"/>
        <v>1.4413186328744953E-2</v>
      </c>
    </row>
    <row r="66" spans="1:6">
      <c r="A66">
        <v>32</v>
      </c>
      <c r="B66">
        <v>0.75029041677131203</v>
      </c>
      <c r="C66">
        <f>SUMPRODUCT(B$2:B$1025, COS(2*PI()*64*(ROW(B$2:B$1025)-1)/1024))</f>
        <v>1.7010846748910247</v>
      </c>
      <c r="D66">
        <f>SUMPRODUCT(B$2:B$1025, -SIN(2*PI()*64*(ROW(B$2:B$1025)-1)/1024))</f>
        <v>-3.7027140738560091</v>
      </c>
      <c r="E66">
        <f t="shared" si="1"/>
        <v>0.125</v>
      </c>
      <c r="F66">
        <f t="shared" si="0"/>
        <v>7.958542353494533E-3</v>
      </c>
    </row>
    <row r="67" spans="1:6">
      <c r="A67">
        <v>32.5</v>
      </c>
      <c r="B67">
        <v>0.77124800571416263</v>
      </c>
      <c r="C67">
        <f>SUMPRODUCT(B$2:B$1025, COS(2*PI()*65*(ROW(B$2:B$1025)-1)/1024))</f>
        <v>2.5636590051217416</v>
      </c>
      <c r="D67">
        <f>SUMPRODUCT(B$2:B$1025, -SIN(2*PI()*65*(ROW(B$2:B$1025)-1)/1024))</f>
        <v>-2.5793395684483675</v>
      </c>
      <c r="E67">
        <f t="shared" si="1"/>
        <v>0.126953125</v>
      </c>
      <c r="F67">
        <f t="shared" ref="F67:F130" si="2">SQRT(C67^2 + D67^2)/(1024/2)</f>
        <v>7.1028634177582109E-3</v>
      </c>
    </row>
    <row r="68" spans="1:6">
      <c r="A68">
        <v>33</v>
      </c>
      <c r="B68">
        <v>-0.60218727660853832</v>
      </c>
      <c r="C68">
        <f>SUMPRODUCT(B$2:B$1025, COS(2*PI()*66*(ROW(B$2:B$1025)-1)/1024))</f>
        <v>3.744458316494057</v>
      </c>
      <c r="D68">
        <f>SUMPRODUCT(B$2:B$1025, -SIN(2*PI()*66*(ROW(B$2:B$1025)-1)/1024))</f>
        <v>-0.6706821728199418</v>
      </c>
      <c r="E68">
        <f t="shared" ref="E68:E131" si="3">(ROW()-2)*(2/1024)</f>
        <v>0.12890625</v>
      </c>
      <c r="F68">
        <f t="shared" si="2"/>
        <v>7.4297816285533473E-3</v>
      </c>
    </row>
    <row r="69" spans="1:6">
      <c r="A69">
        <v>33.5</v>
      </c>
      <c r="B69">
        <v>-1.250349936716747</v>
      </c>
      <c r="C69">
        <f>SUMPRODUCT(B$2:B$1025, COS(2*PI()*67*(ROW(B$2:B$1025)-1)/1024))</f>
        <v>-5.8300599983877657</v>
      </c>
      <c r="D69">
        <f>SUMPRODUCT(B$2:B$1025, -SIN(2*PI()*67*(ROW(B$2:B$1025)-1)/1024))</f>
        <v>0.68152537576731509</v>
      </c>
      <c r="E69">
        <f t="shared" si="3"/>
        <v>0.130859375</v>
      </c>
      <c r="F69">
        <f t="shared" si="2"/>
        <v>1.1464373995948832E-2</v>
      </c>
    </row>
    <row r="70" spans="1:6">
      <c r="A70">
        <v>34</v>
      </c>
      <c r="B70">
        <v>-0.87872931128562581</v>
      </c>
      <c r="C70">
        <f>SUMPRODUCT(B$2:B$1025, COS(2*PI()*68*(ROW(B$2:B$1025)-1)/1024))</f>
        <v>7.1874693633874411</v>
      </c>
      <c r="D70">
        <f>SUMPRODUCT(B$2:B$1025, -SIN(2*PI()*68*(ROW(B$2:B$1025)-1)/1024))</f>
        <v>-1.994337617585358</v>
      </c>
      <c r="E70">
        <f t="shared" si="3"/>
        <v>0.1328125</v>
      </c>
      <c r="F70">
        <f t="shared" si="2"/>
        <v>1.456841402031186E-2</v>
      </c>
    </row>
    <row r="71" spans="1:6">
      <c r="A71">
        <v>34.5</v>
      </c>
      <c r="B71">
        <v>-0.21680920321349639</v>
      </c>
      <c r="C71">
        <f>SUMPRODUCT(B$2:B$1025, COS(2*PI()*69*(ROW(B$2:B$1025)-1)/1024))</f>
        <v>5.494342491137381</v>
      </c>
      <c r="D71">
        <f>SUMPRODUCT(B$2:B$1025, -SIN(2*PI()*69*(ROW(B$2:B$1025)-1)/1024))</f>
        <v>-11.831772071927013</v>
      </c>
      <c r="E71">
        <f t="shared" si="3"/>
        <v>0.134765625</v>
      </c>
      <c r="F71">
        <f t="shared" si="2"/>
        <v>2.5479010060417692E-2</v>
      </c>
    </row>
    <row r="72" spans="1:6">
      <c r="A72">
        <v>35</v>
      </c>
      <c r="B72">
        <v>7.2279121101684995E-2</v>
      </c>
      <c r="C72">
        <f>SUMPRODUCT(B$2:B$1025, COS(2*PI()*70*(ROW(B$2:B$1025)-1)/1024))</f>
        <v>-5.9892872797295755</v>
      </c>
      <c r="D72">
        <f>SUMPRODUCT(B$2:B$1025, -SIN(2*PI()*70*(ROW(B$2:B$1025)-1)/1024))</f>
        <v>-2.7653049875768425</v>
      </c>
      <c r="E72">
        <f t="shared" si="3"/>
        <v>0.13671875</v>
      </c>
      <c r="F72">
        <f t="shared" si="2"/>
        <v>1.2884479150669568E-2</v>
      </c>
    </row>
    <row r="73" spans="1:6">
      <c r="A73">
        <v>35.5</v>
      </c>
      <c r="B73">
        <v>0.39539256558566271</v>
      </c>
      <c r="C73">
        <f>SUMPRODUCT(B$2:B$1025, COS(2*PI()*71*(ROW(B$2:B$1025)-1)/1024))</f>
        <v>3.5890529803879612</v>
      </c>
      <c r="D73">
        <f>SUMPRODUCT(B$2:B$1025, -SIN(2*PI()*71*(ROW(B$2:B$1025)-1)/1024))</f>
        <v>-12.982555884743981</v>
      </c>
      <c r="E73">
        <f t="shared" si="3"/>
        <v>0.138671875</v>
      </c>
      <c r="F73">
        <f t="shared" si="2"/>
        <v>2.6307662743692072E-2</v>
      </c>
    </row>
    <row r="74" spans="1:6">
      <c r="A74">
        <v>36</v>
      </c>
      <c r="B74">
        <v>0.9438913084731605</v>
      </c>
      <c r="C74">
        <f>SUMPRODUCT(B$2:B$1025, COS(2*PI()*72*(ROW(B$2:B$1025)-1)/1024))</f>
        <v>5.7032612374029412</v>
      </c>
      <c r="D74">
        <f>SUMPRODUCT(B$2:B$1025, -SIN(2*PI()*72*(ROW(B$2:B$1025)-1)/1024))</f>
        <v>-1.6909589402828764</v>
      </c>
      <c r="E74">
        <f t="shared" si="3"/>
        <v>0.140625</v>
      </c>
      <c r="F74">
        <f t="shared" si="2"/>
        <v>1.1618472472191532E-2</v>
      </c>
    </row>
    <row r="75" spans="1:6">
      <c r="A75">
        <v>36.5</v>
      </c>
      <c r="B75">
        <v>1.763985247457954</v>
      </c>
      <c r="C75">
        <f>SUMPRODUCT(B$2:B$1025, COS(2*PI()*73*(ROW(B$2:B$1025)-1)/1024))</f>
        <v>13.317938678479774</v>
      </c>
      <c r="D75">
        <f>SUMPRODUCT(B$2:B$1025, -SIN(2*PI()*73*(ROW(B$2:B$1025)-1)/1024))</f>
        <v>-3.8310842962057263</v>
      </c>
      <c r="E75">
        <f t="shared" si="3"/>
        <v>0.142578125</v>
      </c>
      <c r="F75">
        <f t="shared" si="2"/>
        <v>2.7066443847304691E-2</v>
      </c>
    </row>
    <row r="76" spans="1:6">
      <c r="A76">
        <v>37</v>
      </c>
      <c r="B76">
        <v>6.3836231474526106E-2</v>
      </c>
      <c r="C76">
        <f>SUMPRODUCT(B$2:B$1025, COS(2*PI()*74*(ROW(B$2:B$1025)-1)/1024))</f>
        <v>-0.99427675218935097</v>
      </c>
      <c r="D76">
        <f>SUMPRODUCT(B$2:B$1025, -SIN(2*PI()*74*(ROW(B$2:B$1025)-1)/1024))</f>
        <v>-6.36539820897924</v>
      </c>
      <c r="E76">
        <f t="shared" si="3"/>
        <v>0.14453125</v>
      </c>
      <c r="F76">
        <f t="shared" si="2"/>
        <v>1.2583170665664405E-2</v>
      </c>
    </row>
    <row r="77" spans="1:6">
      <c r="A77">
        <v>37.5</v>
      </c>
      <c r="B77">
        <v>-0.33561949912494982</v>
      </c>
      <c r="C77">
        <f>SUMPRODUCT(B$2:B$1025, COS(2*PI()*75*(ROW(B$2:B$1025)-1)/1024))</f>
        <v>10.343011415066622</v>
      </c>
      <c r="D77">
        <f>SUMPRODUCT(B$2:B$1025, -SIN(2*PI()*75*(ROW(B$2:B$1025)-1)/1024))</f>
        <v>-5.9679425033966664</v>
      </c>
      <c r="E77">
        <f t="shared" si="3"/>
        <v>0.146484375</v>
      </c>
      <c r="F77">
        <f t="shared" si="2"/>
        <v>2.3322816983007949E-2</v>
      </c>
    </row>
    <row r="78" spans="1:6">
      <c r="A78">
        <v>38</v>
      </c>
      <c r="B78">
        <v>-0.5703758386448432</v>
      </c>
      <c r="C78">
        <f>SUMPRODUCT(B$2:B$1025, COS(2*PI()*76*(ROW(B$2:B$1025)-1)/1024))</f>
        <v>2.3318387317981744</v>
      </c>
      <c r="D78">
        <f>SUMPRODUCT(B$2:B$1025, -SIN(2*PI()*76*(ROW(B$2:B$1025)-1)/1024))</f>
        <v>-12.309216835229059</v>
      </c>
      <c r="E78">
        <f t="shared" si="3"/>
        <v>0.1484375</v>
      </c>
      <c r="F78">
        <f t="shared" si="2"/>
        <v>2.4469023367984667E-2</v>
      </c>
    </row>
    <row r="79" spans="1:6">
      <c r="A79">
        <v>38.5</v>
      </c>
      <c r="B79">
        <v>-0.51085798638832758</v>
      </c>
      <c r="C79">
        <f>SUMPRODUCT(B$2:B$1025, COS(2*PI()*77*(ROW(B$2:B$1025)-1)/1024))</f>
        <v>11.248465231450206</v>
      </c>
      <c r="D79">
        <f>SUMPRODUCT(B$2:B$1025, -SIN(2*PI()*77*(ROW(B$2:B$1025)-1)/1024))</f>
        <v>-7.9747900168571988</v>
      </c>
      <c r="E79">
        <f t="shared" si="3"/>
        <v>0.150390625</v>
      </c>
      <c r="F79">
        <f t="shared" si="2"/>
        <v>2.6930842088020109E-2</v>
      </c>
    </row>
    <row r="80" spans="1:6">
      <c r="A80">
        <v>39</v>
      </c>
      <c r="B80">
        <v>-0.93270436098804954</v>
      </c>
      <c r="C80">
        <f>SUMPRODUCT(B$2:B$1025, COS(2*PI()*78*(ROW(B$2:B$1025)-1)/1024))</f>
        <v>3.5889592659548217</v>
      </c>
      <c r="D80">
        <f>SUMPRODUCT(B$2:B$1025, -SIN(2*PI()*78*(ROW(B$2:B$1025)-1)/1024))</f>
        <v>-0.97174423031700541</v>
      </c>
      <c r="E80">
        <f t="shared" si="3"/>
        <v>0.15234375</v>
      </c>
      <c r="F80">
        <f t="shared" si="2"/>
        <v>7.2620842194075228E-3</v>
      </c>
    </row>
    <row r="81" spans="1:6">
      <c r="A81">
        <v>39.5</v>
      </c>
      <c r="B81">
        <v>-1.485299035212656</v>
      </c>
      <c r="C81">
        <f>SUMPRODUCT(B$2:B$1025, COS(2*PI()*79*(ROW(B$2:B$1025)-1)/1024))</f>
        <v>5.3134860395144727</v>
      </c>
      <c r="D81">
        <f>SUMPRODUCT(B$2:B$1025, -SIN(2*PI()*79*(ROW(B$2:B$1025)-1)/1024))</f>
        <v>-4.8655944008383419E-2</v>
      </c>
      <c r="E81">
        <f t="shared" si="3"/>
        <v>0.154296875</v>
      </c>
      <c r="F81">
        <f t="shared" si="2"/>
        <v>1.0378337515034282E-2</v>
      </c>
    </row>
    <row r="82" spans="1:6">
      <c r="A82">
        <v>40</v>
      </c>
      <c r="B82">
        <v>-4.3934377567506802E-2</v>
      </c>
      <c r="C82">
        <f>SUMPRODUCT(B$2:B$1025, COS(2*PI()*80*(ROW(B$2:B$1025)-1)/1024))</f>
        <v>3.5584231680459544</v>
      </c>
      <c r="D82">
        <f>SUMPRODUCT(B$2:B$1025, -SIN(2*PI()*80*(ROW(B$2:B$1025)-1)/1024))</f>
        <v>-10.742824987359841</v>
      </c>
      <c r="E82">
        <f t="shared" si="3"/>
        <v>0.15625</v>
      </c>
      <c r="F82">
        <f t="shared" si="2"/>
        <v>2.210318557011957E-2</v>
      </c>
    </row>
    <row r="83" spans="1:6">
      <c r="A83">
        <v>40.5</v>
      </c>
      <c r="B83">
        <v>1.1592077665948231</v>
      </c>
      <c r="C83">
        <f>SUMPRODUCT(B$2:B$1025, COS(2*PI()*81*(ROW(B$2:B$1025)-1)/1024))</f>
        <v>3.1752549313264238</v>
      </c>
      <c r="D83">
        <f>SUMPRODUCT(B$2:B$1025, -SIN(2*PI()*81*(ROW(B$2:B$1025)-1)/1024))</f>
        <v>1.0864150924065268</v>
      </c>
      <c r="E83">
        <f t="shared" si="3"/>
        <v>0.158203125</v>
      </c>
      <c r="F83">
        <f t="shared" si="2"/>
        <v>6.554630940585328E-3</v>
      </c>
    </row>
    <row r="84" spans="1:6">
      <c r="A84">
        <v>41</v>
      </c>
      <c r="B84">
        <v>1.2466353252434641</v>
      </c>
      <c r="C84">
        <f>SUMPRODUCT(B$2:B$1025, COS(2*PI()*82*(ROW(B$2:B$1025)-1)/1024))</f>
        <v>7.2171433393492581</v>
      </c>
      <c r="D84">
        <f>SUMPRODUCT(B$2:B$1025, -SIN(2*PI()*82*(ROW(B$2:B$1025)-1)/1024))</f>
        <v>-10.879938166335769</v>
      </c>
      <c r="E84">
        <f t="shared" si="3"/>
        <v>0.16015625</v>
      </c>
      <c r="F84">
        <f t="shared" si="2"/>
        <v>2.5500080518707838E-2</v>
      </c>
    </row>
    <row r="85" spans="1:6">
      <c r="A85">
        <v>41.5</v>
      </c>
      <c r="B85">
        <v>0.34740247264042601</v>
      </c>
      <c r="C85">
        <f>SUMPRODUCT(B$2:B$1025, COS(2*PI()*83*(ROW(B$2:B$1025)-1)/1024))</f>
        <v>2.7362088373612288</v>
      </c>
      <c r="D85">
        <f>SUMPRODUCT(B$2:B$1025, -SIN(2*PI()*83*(ROW(B$2:B$1025)-1)/1024))</f>
        <v>-1.5261684837596756</v>
      </c>
      <c r="E85">
        <f t="shared" si="3"/>
        <v>0.162109375</v>
      </c>
      <c r="F85">
        <f t="shared" si="2"/>
        <v>6.1192466160161375E-3</v>
      </c>
    </row>
    <row r="86" spans="1:6">
      <c r="A86">
        <v>42</v>
      </c>
      <c r="B86">
        <v>0.42608653171383831</v>
      </c>
      <c r="C86">
        <f>SUMPRODUCT(B$2:B$1025, COS(2*PI()*84*(ROW(B$2:B$1025)-1)/1024))</f>
        <v>3.9090094084990472</v>
      </c>
      <c r="D86">
        <f>SUMPRODUCT(B$2:B$1025, -SIN(2*PI()*84*(ROW(B$2:B$1025)-1)/1024))</f>
        <v>-5.4630282498241529</v>
      </c>
      <c r="E86">
        <f t="shared" si="3"/>
        <v>0.1640625</v>
      </c>
      <c r="F86">
        <f t="shared" si="2"/>
        <v>1.3120150037191212E-2</v>
      </c>
    </row>
    <row r="87" spans="1:6">
      <c r="A87">
        <v>42.5</v>
      </c>
      <c r="B87">
        <v>0.39964859128309133</v>
      </c>
      <c r="C87">
        <f>SUMPRODUCT(B$2:B$1025, COS(2*PI()*85*(ROW(B$2:B$1025)-1)/1024))</f>
        <v>4.8640194946039887</v>
      </c>
      <c r="D87">
        <f>SUMPRODUCT(B$2:B$1025, -SIN(2*PI()*85*(ROW(B$2:B$1025)-1)/1024))</f>
        <v>-8.9003615527178699</v>
      </c>
      <c r="E87">
        <f t="shared" si="3"/>
        <v>0.166015625</v>
      </c>
      <c r="F87">
        <f t="shared" si="2"/>
        <v>1.9810033931191483E-2</v>
      </c>
    </row>
    <row r="88" spans="1:6">
      <c r="A88">
        <v>43</v>
      </c>
      <c r="B88">
        <v>-0.40470482875205221</v>
      </c>
      <c r="C88">
        <f>SUMPRODUCT(B$2:B$1025, COS(2*PI()*86*(ROW(B$2:B$1025)-1)/1024))</f>
        <v>10.413624530684608</v>
      </c>
      <c r="D88">
        <f>SUMPRODUCT(B$2:B$1025, -SIN(2*PI()*86*(ROW(B$2:B$1025)-1)/1024))</f>
        <v>-4.2646953046893818</v>
      </c>
      <c r="E88">
        <f t="shared" si="3"/>
        <v>0.16796875</v>
      </c>
      <c r="F88">
        <f t="shared" si="2"/>
        <v>2.197861914818431E-2</v>
      </c>
    </row>
    <row r="89" spans="1:6">
      <c r="A89">
        <v>43.5</v>
      </c>
      <c r="B89">
        <v>-1.3853062943632151</v>
      </c>
      <c r="C89">
        <f>SUMPRODUCT(B$2:B$1025, COS(2*PI()*87*(ROW(B$2:B$1025)-1)/1024))</f>
        <v>14.177988836132759</v>
      </c>
      <c r="D89">
        <f>SUMPRODUCT(B$2:B$1025, -SIN(2*PI()*87*(ROW(B$2:B$1025)-1)/1024))</f>
        <v>3.1491542029813262</v>
      </c>
      <c r="E89">
        <f t="shared" si="3"/>
        <v>0.169921875</v>
      </c>
      <c r="F89">
        <f t="shared" si="2"/>
        <v>2.8366243709103092E-2</v>
      </c>
    </row>
    <row r="90" spans="1:6">
      <c r="A90">
        <v>44</v>
      </c>
      <c r="B90">
        <v>-1.0570085570485721</v>
      </c>
      <c r="C90">
        <f>SUMPRODUCT(B$2:B$1025, COS(2*PI()*88*(ROW(B$2:B$1025)-1)/1024))</f>
        <v>10.158529932131284</v>
      </c>
      <c r="D90">
        <f>SUMPRODUCT(B$2:B$1025, -SIN(2*PI()*88*(ROW(B$2:B$1025)-1)/1024))</f>
        <v>-15.715437363427252</v>
      </c>
      <c r="E90">
        <f t="shared" si="3"/>
        <v>0.171875</v>
      </c>
      <c r="F90">
        <f t="shared" si="2"/>
        <v>3.6548532379044853E-2</v>
      </c>
    </row>
    <row r="91" spans="1:6">
      <c r="A91">
        <v>44.5</v>
      </c>
      <c r="B91">
        <v>1.486823433019914E-2</v>
      </c>
      <c r="C91">
        <f>SUMPRODUCT(B$2:B$1025, COS(2*PI()*89*(ROW(B$2:B$1025)-1)/1024))</f>
        <v>5.0394625388702003</v>
      </c>
      <c r="D91">
        <f>SUMPRODUCT(B$2:B$1025, -SIN(2*PI()*89*(ROW(B$2:B$1025)-1)/1024))</f>
        <v>-0.32592621810926692</v>
      </c>
      <c r="E91">
        <f t="shared" si="3"/>
        <v>0.173828125</v>
      </c>
      <c r="F91">
        <f t="shared" si="2"/>
        <v>9.8632639581235897E-3</v>
      </c>
    </row>
    <row r="92" spans="1:6">
      <c r="A92">
        <v>45</v>
      </c>
      <c r="B92">
        <v>1.9415509869606849E-2</v>
      </c>
      <c r="C92">
        <f>SUMPRODUCT(B$2:B$1025, COS(2*PI()*90*(ROW(B$2:B$1025)-1)/1024))</f>
        <v>9.5942231082830354</v>
      </c>
      <c r="D92">
        <f>SUMPRODUCT(B$2:B$1025, -SIN(2*PI()*90*(ROW(B$2:B$1025)-1)/1024))</f>
        <v>-6.9568438203704517</v>
      </c>
      <c r="E92">
        <f t="shared" si="3"/>
        <v>0.17578125</v>
      </c>
      <c r="F92">
        <f t="shared" si="2"/>
        <v>2.3146533157136898E-2</v>
      </c>
    </row>
    <row r="93" spans="1:6">
      <c r="A93">
        <v>45.5</v>
      </c>
      <c r="B93">
        <v>0.28151425039904637</v>
      </c>
      <c r="C93">
        <f>SUMPRODUCT(B$2:B$1025, COS(2*PI()*91*(ROW(B$2:B$1025)-1)/1024))</f>
        <v>8.6247881755757518</v>
      </c>
      <c r="D93">
        <f>SUMPRODUCT(B$2:B$1025, -SIN(2*PI()*91*(ROW(B$2:B$1025)-1)/1024))</f>
        <v>-8.1993375854929873</v>
      </c>
      <c r="E93">
        <f t="shared" si="3"/>
        <v>0.177734375</v>
      </c>
      <c r="F93">
        <f t="shared" si="2"/>
        <v>2.3242688734946917E-2</v>
      </c>
    </row>
    <row r="94" spans="1:6">
      <c r="A94">
        <v>46</v>
      </c>
      <c r="B94">
        <v>0.81064589751967608</v>
      </c>
      <c r="C94">
        <f>SUMPRODUCT(B$2:B$1025, COS(2*PI()*92*(ROW(B$2:B$1025)-1)/1024))</f>
        <v>14.561485760954664</v>
      </c>
      <c r="D94">
        <f>SUMPRODUCT(B$2:B$1025, -SIN(2*PI()*92*(ROW(B$2:B$1025)-1)/1024))</f>
        <v>-9.2369732873048029</v>
      </c>
      <c r="E94">
        <f t="shared" si="3"/>
        <v>0.1796875</v>
      </c>
      <c r="F94">
        <f t="shared" si="2"/>
        <v>3.3679857796397566E-2</v>
      </c>
    </row>
    <row r="95" spans="1:6">
      <c r="A95">
        <v>46.5</v>
      </c>
      <c r="B95">
        <v>1.3855240869756</v>
      </c>
      <c r="C95">
        <f>SUMPRODUCT(B$2:B$1025, COS(2*PI()*93*(ROW(B$2:B$1025)-1)/1024))</f>
        <v>17.046746733158457</v>
      </c>
      <c r="D95">
        <f>SUMPRODUCT(B$2:B$1025, -SIN(2*PI()*93*(ROW(B$2:B$1025)-1)/1024))</f>
        <v>-11.61940717696362</v>
      </c>
      <c r="E95">
        <f t="shared" si="3"/>
        <v>0.181640625</v>
      </c>
      <c r="F95">
        <f t="shared" si="2"/>
        <v>4.0293219508908754E-2</v>
      </c>
    </row>
    <row r="96" spans="1:6">
      <c r="A96">
        <v>47</v>
      </c>
      <c r="B96">
        <v>0.5093636216660411</v>
      </c>
      <c r="C96">
        <f>SUMPRODUCT(B$2:B$1025, COS(2*PI()*94*(ROW(B$2:B$1025)-1)/1024))</f>
        <v>7.1957666740196036</v>
      </c>
      <c r="D96">
        <f>SUMPRODUCT(B$2:B$1025, -SIN(2*PI()*94*(ROW(B$2:B$1025)-1)/1024))</f>
        <v>-12.629573361880031</v>
      </c>
      <c r="E96">
        <f t="shared" si="3"/>
        <v>0.18359375</v>
      </c>
      <c r="F96">
        <f t="shared" si="2"/>
        <v>2.8389945464667398E-2</v>
      </c>
    </row>
    <row r="97" spans="1:6">
      <c r="A97">
        <v>47.5</v>
      </c>
      <c r="B97">
        <v>-0.79270298962641772</v>
      </c>
      <c r="C97">
        <f>SUMPRODUCT(B$2:B$1025, COS(2*PI()*95*(ROW(B$2:B$1025)-1)/1024))</f>
        <v>12.73930652552713</v>
      </c>
      <c r="D97">
        <f>SUMPRODUCT(B$2:B$1025, -SIN(2*PI()*95*(ROW(B$2:B$1025)-1)/1024))</f>
        <v>-17.947912508468569</v>
      </c>
      <c r="E97">
        <f t="shared" si="3"/>
        <v>0.185546875</v>
      </c>
      <c r="F97">
        <f t="shared" si="2"/>
        <v>4.2987278239084138E-2</v>
      </c>
    </row>
    <row r="98" spans="1:6">
      <c r="A98">
        <v>48</v>
      </c>
      <c r="B98">
        <v>-0.52856119687955894</v>
      </c>
      <c r="C98">
        <f>SUMPRODUCT(B$2:B$1025, COS(2*PI()*96*(ROW(B$2:B$1025)-1)/1024))</f>
        <v>16.236687811398259</v>
      </c>
      <c r="D98">
        <f>SUMPRODUCT(B$2:B$1025, -SIN(2*PI()*96*(ROW(B$2:B$1025)-1)/1024))</f>
        <v>-12.36868094483523</v>
      </c>
      <c r="E98">
        <f t="shared" si="3"/>
        <v>0.1875</v>
      </c>
      <c r="F98">
        <f t="shared" si="2"/>
        <v>3.9865491703241565E-2</v>
      </c>
    </row>
    <row r="99" spans="1:6">
      <c r="A99">
        <v>48.5</v>
      </c>
      <c r="B99">
        <v>-0.39884546185917608</v>
      </c>
      <c r="C99">
        <f>SUMPRODUCT(B$2:B$1025, COS(2*PI()*97*(ROW(B$2:B$1025)-1)/1024))</f>
        <v>19.425052259467815</v>
      </c>
      <c r="D99">
        <f>SUMPRODUCT(B$2:B$1025, -SIN(2*PI()*97*(ROW(B$2:B$1025)-1)/1024))</f>
        <v>-28.139632277931639</v>
      </c>
      <c r="E99">
        <f t="shared" si="3"/>
        <v>0.189453125</v>
      </c>
      <c r="F99">
        <f t="shared" si="2"/>
        <v>6.6783497610231765E-2</v>
      </c>
    </row>
    <row r="100" spans="1:6">
      <c r="A100">
        <v>49</v>
      </c>
      <c r="B100">
        <v>-0.95003382496665378</v>
      </c>
      <c r="C100">
        <f>SUMPRODUCT(B$2:B$1025, COS(2*PI()*98*(ROW(B$2:B$1025)-1)/1024))</f>
        <v>30.819955593813489</v>
      </c>
      <c r="D100">
        <f>SUMPRODUCT(B$2:B$1025, -SIN(2*PI()*98*(ROW(B$2:B$1025)-1)/1024))</f>
        <v>-22.96320187671094</v>
      </c>
      <c r="E100">
        <f t="shared" si="3"/>
        <v>0.19140625</v>
      </c>
      <c r="F100">
        <f t="shared" si="2"/>
        <v>7.5066557362063413E-2</v>
      </c>
    </row>
    <row r="101" spans="1:6">
      <c r="A101">
        <v>49.5</v>
      </c>
      <c r="B101">
        <v>-1.134702678967507</v>
      </c>
      <c r="C101">
        <f>SUMPRODUCT(B$2:B$1025, COS(2*PI()*99*(ROW(B$2:B$1025)-1)/1024))</f>
        <v>28.260893463072499</v>
      </c>
      <c r="D101">
        <f>SUMPRODUCT(B$2:B$1025, -SIN(2*PI()*99*(ROW(B$2:B$1025)-1)/1024))</f>
        <v>-45.793976019932622</v>
      </c>
      <c r="E101">
        <f t="shared" si="3"/>
        <v>0.193359375</v>
      </c>
      <c r="F101">
        <f t="shared" si="2"/>
        <v>0.10510219757666828</v>
      </c>
    </row>
    <row r="102" spans="1:6">
      <c r="A102">
        <v>50</v>
      </c>
      <c r="B102">
        <v>-0.28307414841008482</v>
      </c>
      <c r="C102">
        <f>SUMPRODUCT(B$2:B$1025, COS(2*PI()*100*(ROW(B$2:B$1025)-1)/1024))</f>
        <v>42.211171825361447</v>
      </c>
      <c r="D102">
        <f>SUMPRODUCT(B$2:B$1025, -SIN(2*PI()*100*(ROW(B$2:B$1025)-1)/1024))</f>
        <v>-45.375502592066248</v>
      </c>
      <c r="E102">
        <f t="shared" si="3"/>
        <v>0.1953125</v>
      </c>
      <c r="F102">
        <f t="shared" si="2"/>
        <v>0.12104206404440768</v>
      </c>
    </row>
    <row r="103" spans="1:6">
      <c r="A103">
        <v>50.5</v>
      </c>
      <c r="B103">
        <v>1.0036561877394019</v>
      </c>
      <c r="C103">
        <f>SUMPRODUCT(B$2:B$1025, COS(2*PI()*101*(ROW(B$2:B$1025)-1)/1024))</f>
        <v>61.604888650491795</v>
      </c>
      <c r="D103">
        <f>SUMPRODUCT(B$2:B$1025, -SIN(2*PI()*101*(ROW(B$2:B$1025)-1)/1024))</f>
        <v>-87.643301264467681</v>
      </c>
      <c r="E103">
        <f t="shared" si="3"/>
        <v>0.197265625</v>
      </c>
      <c r="F103">
        <f t="shared" si="2"/>
        <v>0.20923530643856592</v>
      </c>
    </row>
    <row r="104" spans="1:6">
      <c r="A104">
        <v>51</v>
      </c>
      <c r="B104">
        <v>0.88251361298980169</v>
      </c>
      <c r="C104">
        <f>SUMPRODUCT(B$2:B$1025, COS(2*PI()*102*(ROW(B$2:B$1025)-1)/1024))</f>
        <v>230.03653867468395</v>
      </c>
      <c r="D104">
        <f>SUMPRODUCT(B$2:B$1025, -SIN(2*PI()*102*(ROW(B$2:B$1025)-1)/1024))</f>
        <v>-314.66519665934385</v>
      </c>
      <c r="E104">
        <f t="shared" si="3"/>
        <v>0.19921875</v>
      </c>
      <c r="F104">
        <f t="shared" si="2"/>
        <v>0.76129544306098096</v>
      </c>
    </row>
    <row r="105" spans="1:6">
      <c r="A105">
        <v>51.5</v>
      </c>
      <c r="B105">
        <v>0.29060106245083173</v>
      </c>
      <c r="C105">
        <f>SUMPRODUCT(B$2:B$1025, COS(2*PI()*103*(ROW(B$2:B$1025)-1)/1024))</f>
        <v>-152.7320848469989</v>
      </c>
      <c r="D105">
        <f>SUMPRODUCT(B$2:B$1025, -SIN(2*PI()*103*(ROW(B$2:B$1025)-1)/1024))</f>
        <v>210.1484688663846</v>
      </c>
      <c r="E105">
        <f t="shared" si="3"/>
        <v>0.201171875</v>
      </c>
      <c r="F105">
        <f t="shared" si="2"/>
        <v>0.5073971735644256</v>
      </c>
    </row>
    <row r="106" spans="1:6">
      <c r="A106">
        <v>52</v>
      </c>
      <c r="B106">
        <v>0.55552810995927715</v>
      </c>
      <c r="C106">
        <f>SUMPRODUCT(B$2:B$1025, COS(2*PI()*104*(ROW(B$2:B$1025)-1)/1024))</f>
        <v>-49.747437832521257</v>
      </c>
      <c r="D106">
        <f>SUMPRODUCT(B$2:B$1025, -SIN(2*PI()*104*(ROW(B$2:B$1025)-1)/1024))</f>
        <v>77.210641976680066</v>
      </c>
      <c r="E106">
        <f t="shared" si="3"/>
        <v>0.203125</v>
      </c>
      <c r="F106">
        <f t="shared" si="2"/>
        <v>0.17939313104796464</v>
      </c>
    </row>
    <row r="107" spans="1:6">
      <c r="A107">
        <v>52.5</v>
      </c>
      <c r="B107">
        <v>0.58081017136290658</v>
      </c>
      <c r="C107">
        <f>SUMPRODUCT(B$2:B$1025, COS(2*PI()*105*(ROW(B$2:B$1025)-1)/1024))</f>
        <v>-34.78847795959139</v>
      </c>
      <c r="D107">
        <f>SUMPRODUCT(B$2:B$1025, -SIN(2*PI()*105*(ROW(B$2:B$1025)-1)/1024))</f>
        <v>58.065911111374007</v>
      </c>
      <c r="E107">
        <f t="shared" si="3"/>
        <v>0.205078125</v>
      </c>
      <c r="F107">
        <f t="shared" si="2"/>
        <v>0.13220634065647882</v>
      </c>
    </row>
    <row r="108" spans="1:6">
      <c r="A108">
        <v>53</v>
      </c>
      <c r="B108">
        <v>-0.21054807205036929</v>
      </c>
      <c r="C108">
        <f>SUMPRODUCT(B$2:B$1025, COS(2*PI()*106*(ROW(B$2:B$1025)-1)/1024))</f>
        <v>-26.26305172444998</v>
      </c>
      <c r="D108">
        <f>SUMPRODUCT(B$2:B$1025, -SIN(2*PI()*106*(ROW(B$2:B$1025)-1)/1024))</f>
        <v>27.116321016688193</v>
      </c>
      <c r="E108">
        <f t="shared" si="3"/>
        <v>0.20703125</v>
      </c>
      <c r="F108">
        <f t="shared" si="2"/>
        <v>7.3729957866639093E-2</v>
      </c>
    </row>
    <row r="109" spans="1:6">
      <c r="A109">
        <v>53.5</v>
      </c>
      <c r="B109">
        <v>-1.4161409537287839</v>
      </c>
      <c r="C109">
        <f>SUMPRODUCT(B$2:B$1025, COS(2*PI()*107*(ROW(B$2:B$1025)-1)/1024))</f>
        <v>-12.854212266378376</v>
      </c>
      <c r="D109">
        <f>SUMPRODUCT(B$2:B$1025, -SIN(2*PI()*107*(ROW(B$2:B$1025)-1)/1024))</f>
        <v>24.72784872315512</v>
      </c>
      <c r="E109">
        <f t="shared" si="3"/>
        <v>0.208984375</v>
      </c>
      <c r="F109">
        <f t="shared" si="2"/>
        <v>5.4432205291833145E-2</v>
      </c>
    </row>
    <row r="110" spans="1:6">
      <c r="A110">
        <v>54</v>
      </c>
      <c r="B110">
        <v>-0.89954643815060842</v>
      </c>
      <c r="C110">
        <f>SUMPRODUCT(B$2:B$1025, COS(2*PI()*108*(ROW(B$2:B$1025)-1)/1024))</f>
        <v>-18.836405891393095</v>
      </c>
      <c r="D110">
        <f>SUMPRODUCT(B$2:B$1025, -SIN(2*PI()*108*(ROW(B$2:B$1025)-1)/1024))</f>
        <v>23.0828096536654</v>
      </c>
      <c r="E110">
        <f t="shared" si="3"/>
        <v>0.2109375</v>
      </c>
      <c r="F110">
        <f t="shared" si="2"/>
        <v>5.8189565862830001E-2</v>
      </c>
    </row>
    <row r="111" spans="1:6">
      <c r="A111">
        <v>54.5</v>
      </c>
      <c r="B111">
        <v>-0.1026744354457059</v>
      </c>
      <c r="C111">
        <f>SUMPRODUCT(B$2:B$1025, COS(2*PI()*109*(ROW(B$2:B$1025)-1)/1024))</f>
        <v>-19.046156871092531</v>
      </c>
      <c r="D111">
        <f>SUMPRODUCT(B$2:B$1025, -SIN(2*PI()*109*(ROW(B$2:B$1025)-1)/1024))</f>
        <v>11.19530193629733</v>
      </c>
      <c r="E111">
        <f t="shared" si="3"/>
        <v>0.212890625</v>
      </c>
      <c r="F111">
        <f t="shared" si="2"/>
        <v>4.3149958677620316E-2</v>
      </c>
    </row>
    <row r="112" spans="1:6">
      <c r="A112">
        <v>55</v>
      </c>
      <c r="B112">
        <v>-0.38375424305982009</v>
      </c>
      <c r="C112">
        <f>SUMPRODUCT(B$2:B$1025, COS(2*PI()*110*(ROW(B$2:B$1025)-1)/1024))</f>
        <v>-4.1604025888461429</v>
      </c>
      <c r="D112">
        <f>SUMPRODUCT(B$2:B$1025, -SIN(2*PI()*110*(ROW(B$2:B$1025)-1)/1024))</f>
        <v>20.424678657151855</v>
      </c>
      <c r="E112">
        <f t="shared" si="3"/>
        <v>0.21484375</v>
      </c>
      <c r="F112">
        <f t="shared" si="2"/>
        <v>4.0711130148526287E-2</v>
      </c>
    </row>
    <row r="113" spans="1:6">
      <c r="A113">
        <v>55.5</v>
      </c>
      <c r="B113">
        <v>8.2482477202624707E-2</v>
      </c>
      <c r="C113">
        <f>SUMPRODUCT(B$2:B$1025, COS(2*PI()*111*(ROW(B$2:B$1025)-1)/1024))</f>
        <v>-7.3171942633987417</v>
      </c>
      <c r="D113">
        <f>SUMPRODUCT(B$2:B$1025, -SIN(2*PI()*111*(ROW(B$2:B$1025)-1)/1024))</f>
        <v>15.148206232303055</v>
      </c>
      <c r="E113">
        <f t="shared" si="3"/>
        <v>0.216796875</v>
      </c>
      <c r="F113">
        <f t="shared" si="2"/>
        <v>3.2857198671673027E-2</v>
      </c>
    </row>
    <row r="114" spans="1:6">
      <c r="A114">
        <v>56</v>
      </c>
      <c r="B114">
        <v>0.96310255828335456</v>
      </c>
      <c r="C114">
        <f>SUMPRODUCT(B$2:B$1025, COS(2*PI()*112*(ROW(B$2:B$1025)-1)/1024))</f>
        <v>-15.077287969217915</v>
      </c>
      <c r="D114">
        <f>SUMPRODUCT(B$2:B$1025, -SIN(2*PI()*112*(ROW(B$2:B$1025)-1)/1024))</f>
        <v>11.979073077937754</v>
      </c>
      <c r="E114">
        <f t="shared" si="3"/>
        <v>0.21875</v>
      </c>
      <c r="F114">
        <f t="shared" si="2"/>
        <v>3.7610859304798211E-2</v>
      </c>
    </row>
    <row r="115" spans="1:6">
      <c r="A115">
        <v>56.5</v>
      </c>
      <c r="B115">
        <v>1.943704938792211</v>
      </c>
      <c r="C115">
        <f>SUMPRODUCT(B$2:B$1025, COS(2*PI()*113*(ROW(B$2:B$1025)-1)/1024))</f>
        <v>-7.0874560871030017</v>
      </c>
      <c r="D115">
        <f>SUMPRODUCT(B$2:B$1025, -SIN(2*PI()*113*(ROW(B$2:B$1025)-1)/1024))</f>
        <v>11.622869351599602</v>
      </c>
      <c r="E115">
        <f t="shared" si="3"/>
        <v>0.220703125</v>
      </c>
      <c r="F115">
        <f t="shared" si="2"/>
        <v>2.6588561846389715E-2</v>
      </c>
    </row>
    <row r="116" spans="1:6">
      <c r="A116">
        <v>57</v>
      </c>
      <c r="B116">
        <v>0.54931305933625385</v>
      </c>
      <c r="C116">
        <f>SUMPRODUCT(B$2:B$1025, COS(2*PI()*114*(ROW(B$2:B$1025)-1)/1024))</f>
        <v>-5.3094596417824018</v>
      </c>
      <c r="D116">
        <f>SUMPRODUCT(B$2:B$1025, -SIN(2*PI()*114*(ROW(B$2:B$1025)-1)/1024))</f>
        <v>8.5596180925740164</v>
      </c>
      <c r="E116">
        <f t="shared" si="3"/>
        <v>0.22265625</v>
      </c>
      <c r="F116">
        <f t="shared" si="2"/>
        <v>1.9673061691104901E-2</v>
      </c>
    </row>
    <row r="117" spans="1:6">
      <c r="A117">
        <v>57.5</v>
      </c>
      <c r="B117">
        <v>-0.43969053153327109</v>
      </c>
      <c r="C117">
        <f>SUMPRODUCT(B$2:B$1025, COS(2*PI()*115*(ROW(B$2:B$1025)-1)/1024))</f>
        <v>-3.7256268857129533</v>
      </c>
      <c r="D117">
        <f>SUMPRODUCT(B$2:B$1025, -SIN(2*PI()*115*(ROW(B$2:B$1025)-1)/1024))</f>
        <v>11.80242245689643</v>
      </c>
      <c r="E117">
        <f t="shared" si="3"/>
        <v>0.224609375</v>
      </c>
      <c r="F117">
        <f t="shared" si="2"/>
        <v>2.4172829413391161E-2</v>
      </c>
    </row>
    <row r="118" spans="1:6">
      <c r="A118">
        <v>58</v>
      </c>
      <c r="B118">
        <v>-0.5947276062335195</v>
      </c>
      <c r="C118">
        <f>SUMPRODUCT(B$2:B$1025, COS(2*PI()*116*(ROW(B$2:B$1025)-1)/1024))</f>
        <v>-3.6528984008558738</v>
      </c>
      <c r="D118">
        <f>SUMPRODUCT(B$2:B$1025, -SIN(2*PI()*116*(ROW(B$2:B$1025)-1)/1024))</f>
        <v>10.000703430296337</v>
      </c>
      <c r="E118">
        <f t="shared" si="3"/>
        <v>0.2265625</v>
      </c>
      <c r="F118">
        <f t="shared" si="2"/>
        <v>2.0794841785871578E-2</v>
      </c>
    </row>
    <row r="119" spans="1:6">
      <c r="A119">
        <v>58.5</v>
      </c>
      <c r="B119">
        <v>-0.68479212381906018</v>
      </c>
      <c r="C119">
        <f>SUMPRODUCT(B$2:B$1025, COS(2*PI()*117*(ROW(B$2:B$1025)-1)/1024))</f>
        <v>-5.3322778035587941</v>
      </c>
      <c r="D119">
        <f>SUMPRODUCT(B$2:B$1025, -SIN(2*PI()*117*(ROW(B$2:B$1025)-1)/1024))</f>
        <v>2.4126521841099149</v>
      </c>
      <c r="E119">
        <f t="shared" si="3"/>
        <v>0.228515625</v>
      </c>
      <c r="F119">
        <f t="shared" si="2"/>
        <v>1.1431051324637891E-2</v>
      </c>
    </row>
    <row r="120" spans="1:6">
      <c r="A120">
        <v>59</v>
      </c>
      <c r="B120">
        <v>-0.72249195339214711</v>
      </c>
      <c r="C120">
        <f>SUMPRODUCT(B$2:B$1025, COS(2*PI()*118*(ROW(B$2:B$1025)-1)/1024))</f>
        <v>0.71373507261226565</v>
      </c>
      <c r="D120">
        <f>SUMPRODUCT(B$2:B$1025, -SIN(2*PI()*118*(ROW(B$2:B$1025)-1)/1024))</f>
        <v>6.6185162568600822</v>
      </c>
      <c r="E120">
        <f t="shared" si="3"/>
        <v>0.23046875</v>
      </c>
      <c r="F120">
        <f t="shared" si="2"/>
        <v>1.3001736920479656E-2</v>
      </c>
    </row>
    <row r="121" spans="1:6">
      <c r="A121">
        <v>59.5</v>
      </c>
      <c r="B121">
        <v>-0.93739864575512344</v>
      </c>
      <c r="C121">
        <f>SUMPRODUCT(B$2:B$1025, COS(2*PI()*119*(ROW(B$2:B$1025)-1)/1024))</f>
        <v>-9.1020650467911182</v>
      </c>
      <c r="D121">
        <f>SUMPRODUCT(B$2:B$1025, -SIN(2*PI()*119*(ROW(B$2:B$1025)-1)/1024))</f>
        <v>10.19967920093338</v>
      </c>
      <c r="E121">
        <f t="shared" si="3"/>
        <v>0.232421875</v>
      </c>
      <c r="F121">
        <f t="shared" si="2"/>
        <v>2.6700086277595136E-2</v>
      </c>
    </row>
    <row r="122" spans="1:6">
      <c r="A122">
        <v>60</v>
      </c>
      <c r="B122">
        <v>0.15820638940859569</v>
      </c>
      <c r="C122">
        <f>SUMPRODUCT(B$2:B$1025, COS(2*PI()*120*(ROW(B$2:B$1025)-1)/1024))</f>
        <v>-2.0278651684434474</v>
      </c>
      <c r="D122">
        <f>SUMPRODUCT(B$2:B$1025, -SIN(2*PI()*120*(ROW(B$2:B$1025)-1)/1024))</f>
        <v>9.3715437133819748</v>
      </c>
      <c r="E122">
        <f t="shared" si="3"/>
        <v>0.234375</v>
      </c>
      <c r="F122">
        <f t="shared" si="2"/>
        <v>1.8727410374292174E-2</v>
      </c>
    </row>
    <row r="123" spans="1:6">
      <c r="A123">
        <v>60.5</v>
      </c>
      <c r="B123">
        <v>0.9059077613335258</v>
      </c>
      <c r="C123">
        <f>SUMPRODUCT(B$2:B$1025, COS(2*PI()*121*(ROW(B$2:B$1025)-1)/1024))</f>
        <v>-2.2910464203827794</v>
      </c>
      <c r="D123">
        <f>SUMPRODUCT(B$2:B$1025, -SIN(2*PI()*121*(ROW(B$2:B$1025)-1)/1024))</f>
        <v>15.888574300313071</v>
      </c>
      <c r="E123">
        <f t="shared" si="3"/>
        <v>0.236328125</v>
      </c>
      <c r="F123">
        <f t="shared" si="2"/>
        <v>3.1353325701598198E-2</v>
      </c>
    </row>
    <row r="124" spans="1:6">
      <c r="A124">
        <v>61</v>
      </c>
      <c r="B124">
        <v>1.2316153784823769</v>
      </c>
      <c r="C124">
        <f>SUMPRODUCT(B$2:B$1025, COS(2*PI()*122*(ROW(B$2:B$1025)-1)/1024))</f>
        <v>6.9643468637578199</v>
      </c>
      <c r="D124">
        <f>SUMPRODUCT(B$2:B$1025, -SIN(2*PI()*122*(ROW(B$2:B$1025)-1)/1024))</f>
        <v>13.227262674519606</v>
      </c>
      <c r="E124">
        <f t="shared" si="3"/>
        <v>0.23828125</v>
      </c>
      <c r="F124">
        <f t="shared" si="2"/>
        <v>2.9196612622740991E-2</v>
      </c>
    </row>
    <row r="125" spans="1:6">
      <c r="A125">
        <v>61.5</v>
      </c>
      <c r="B125">
        <v>0.1706863037366996</v>
      </c>
      <c r="C125">
        <f>SUMPRODUCT(B$2:B$1025, COS(2*PI()*123*(ROW(B$2:B$1025)-1)/1024))</f>
        <v>-7.2891671744005251</v>
      </c>
      <c r="D125">
        <f>SUMPRODUCT(B$2:B$1025, -SIN(2*PI()*123*(ROW(B$2:B$1025)-1)/1024))</f>
        <v>7.921837003181345</v>
      </c>
      <c r="E125">
        <f t="shared" si="3"/>
        <v>0.240234375</v>
      </c>
      <c r="F125">
        <f t="shared" si="2"/>
        <v>2.1025593339105232E-2</v>
      </c>
    </row>
    <row r="126" spans="1:6">
      <c r="A126">
        <v>62</v>
      </c>
      <c r="B126">
        <v>0.70515667105252233</v>
      </c>
      <c r="C126">
        <f>SUMPRODUCT(B$2:B$1025, COS(2*PI()*124*(ROW(B$2:B$1025)-1)/1024))</f>
        <v>-4.6872828343323523</v>
      </c>
      <c r="D126">
        <f>SUMPRODUCT(B$2:B$1025, -SIN(2*PI()*124*(ROW(B$2:B$1025)-1)/1024))</f>
        <v>7.1209726607864638</v>
      </c>
      <c r="E126">
        <f t="shared" si="3"/>
        <v>0.2421875</v>
      </c>
      <c r="F126">
        <f t="shared" si="2"/>
        <v>1.6650762574279273E-2</v>
      </c>
    </row>
    <row r="127" spans="1:6">
      <c r="A127">
        <v>62.5</v>
      </c>
      <c r="B127">
        <v>0.93809112516199511</v>
      </c>
      <c r="C127">
        <f>SUMPRODUCT(B$2:B$1025, COS(2*PI()*125*(ROW(B$2:B$1025)-1)/1024))</f>
        <v>0.24478061901482195</v>
      </c>
      <c r="D127">
        <f>SUMPRODUCT(B$2:B$1025, -SIN(2*PI()*125*(ROW(B$2:B$1025)-1)/1024))</f>
        <v>2.8247950326557176</v>
      </c>
      <c r="E127">
        <f t="shared" si="3"/>
        <v>0.244140625</v>
      </c>
      <c r="F127">
        <f t="shared" si="2"/>
        <v>5.5378532100556271E-3</v>
      </c>
    </row>
    <row r="128" spans="1:6">
      <c r="A128">
        <v>63</v>
      </c>
      <c r="B128">
        <v>-0.78589251731860399</v>
      </c>
      <c r="C128">
        <f>SUMPRODUCT(B$2:B$1025, COS(2*PI()*126*(ROW(B$2:B$1025)-1)/1024))</f>
        <v>1.7444363673886067</v>
      </c>
      <c r="D128">
        <f>SUMPRODUCT(B$2:B$1025, -SIN(2*PI()*126*(ROW(B$2:B$1025)-1)/1024))</f>
        <v>8.7770946325283585</v>
      </c>
      <c r="E128">
        <f t="shared" si="3"/>
        <v>0.24609375</v>
      </c>
      <c r="F128">
        <f t="shared" si="2"/>
        <v>1.7478062468396713E-2</v>
      </c>
    </row>
    <row r="129" spans="1:6">
      <c r="A129">
        <v>63.5</v>
      </c>
      <c r="B129">
        <v>-1.564316062215706</v>
      </c>
      <c r="C129">
        <f>SUMPRODUCT(B$2:B$1025, COS(2*PI()*127*(ROW(B$2:B$1025)-1)/1024))</f>
        <v>6.7324094861700967</v>
      </c>
      <c r="D129">
        <f>SUMPRODUCT(B$2:B$1025, -SIN(2*PI()*127*(ROW(B$2:B$1025)-1)/1024))</f>
        <v>6.5270841770662864</v>
      </c>
      <c r="E129">
        <f t="shared" si="3"/>
        <v>0.248046875</v>
      </c>
      <c r="F129">
        <f t="shared" si="2"/>
        <v>1.8314456910023615E-2</v>
      </c>
    </row>
    <row r="130" spans="1:6">
      <c r="A130">
        <v>64</v>
      </c>
      <c r="B130">
        <v>-0.93112624327763016</v>
      </c>
      <c r="C130">
        <f>SUMPRODUCT(B$2:B$1025, COS(2*PI()*128*(ROW(B$2:B$1025)-1)/1024))</f>
        <v>-7.3047936143417811</v>
      </c>
      <c r="D130">
        <f>SUMPRODUCT(B$2:B$1025, -SIN(2*PI()*128*(ROW(B$2:B$1025)-1)/1024))</f>
        <v>-0.53079958367037505</v>
      </c>
      <c r="E130">
        <f t="shared" si="3"/>
        <v>0.25</v>
      </c>
      <c r="F130">
        <f t="shared" si="2"/>
        <v>1.4304791762221091E-2</v>
      </c>
    </row>
    <row r="131" spans="1:6">
      <c r="A131">
        <v>64.5</v>
      </c>
      <c r="B131">
        <v>-0.18848038311571261</v>
      </c>
      <c r="C131">
        <f>SUMPRODUCT(B$2:B$1025, COS(2*PI()*129*(ROW(B$2:B$1025)-1)/1024))</f>
        <v>-6.796132800239695</v>
      </c>
      <c r="D131">
        <f>SUMPRODUCT(B$2:B$1025, -SIN(2*PI()*129*(ROW(B$2:B$1025)-1)/1024))</f>
        <v>7.5699091123314988</v>
      </c>
      <c r="E131">
        <f t="shared" si="3"/>
        <v>0.251953125</v>
      </c>
      <c r="F131">
        <f t="shared" ref="F131:F194" si="4">SQRT(C131^2 + D131^2)/(1024/2)</f>
        <v>1.986923815693192E-2</v>
      </c>
    </row>
    <row r="132" spans="1:6">
      <c r="A132">
        <v>65</v>
      </c>
      <c r="B132">
        <v>-0.31013268621321333</v>
      </c>
      <c r="C132">
        <f>SUMPRODUCT(B$2:B$1025, COS(2*PI()*130*(ROW(B$2:B$1025)-1)/1024))</f>
        <v>-6.3418886343376606</v>
      </c>
      <c r="D132">
        <f>SUMPRODUCT(B$2:B$1025, -SIN(2*PI()*130*(ROW(B$2:B$1025)-1)/1024))</f>
        <v>8.0643850665046433</v>
      </c>
      <c r="E132">
        <f t="shared" ref="E132:E195" si="5">(ROW()-2)*(2/1024)</f>
        <v>0.25390625</v>
      </c>
      <c r="F132">
        <f t="shared" si="4"/>
        <v>2.0037754468077037E-2</v>
      </c>
    </row>
    <row r="133" spans="1:6">
      <c r="A133">
        <v>65.5</v>
      </c>
      <c r="B133">
        <v>0.1014978472536732</v>
      </c>
      <c r="C133">
        <f>SUMPRODUCT(B$2:B$1025, COS(2*PI()*131*(ROW(B$2:B$1025)-1)/1024))</f>
        <v>-0.94833081517058004</v>
      </c>
      <c r="D133">
        <f>SUMPRODUCT(B$2:B$1025, -SIN(2*PI()*131*(ROW(B$2:B$1025)-1)/1024))</f>
        <v>4.8140178971843088</v>
      </c>
      <c r="E133">
        <f t="shared" si="5"/>
        <v>0.255859375</v>
      </c>
      <c r="F133">
        <f t="shared" si="4"/>
        <v>9.5830789470294601E-3</v>
      </c>
    </row>
    <row r="134" spans="1:6">
      <c r="A134">
        <v>66</v>
      </c>
      <c r="B134">
        <v>0.73859577354993111</v>
      </c>
      <c r="C134">
        <f>SUMPRODUCT(B$2:B$1025, COS(2*PI()*132*(ROW(B$2:B$1025)-1)/1024))</f>
        <v>-8.3826996942995198</v>
      </c>
      <c r="D134">
        <f>SUMPRODUCT(B$2:B$1025, -SIN(2*PI()*132*(ROW(B$2:B$1025)-1)/1024))</f>
        <v>3.2851008893613469E-2</v>
      </c>
      <c r="E134">
        <f t="shared" si="5"/>
        <v>0.2578125</v>
      </c>
      <c r="F134">
        <f t="shared" si="4"/>
        <v>1.6372586062605405E-2</v>
      </c>
    </row>
    <row r="135" spans="1:6">
      <c r="A135">
        <v>66.5</v>
      </c>
      <c r="B135">
        <v>1.5457750024221899</v>
      </c>
      <c r="C135">
        <f>SUMPRODUCT(B$2:B$1025, COS(2*PI()*133*(ROW(B$2:B$1025)-1)/1024))</f>
        <v>-3.4361142805131268</v>
      </c>
      <c r="D135">
        <f>SUMPRODUCT(B$2:B$1025, -SIN(2*PI()*133*(ROW(B$2:B$1025)-1)/1024))</f>
        <v>4.4449045548717745</v>
      </c>
      <c r="E135">
        <f t="shared" si="5"/>
        <v>0.259765625</v>
      </c>
      <c r="F135">
        <f t="shared" si="4"/>
        <v>1.0973027165507486E-2</v>
      </c>
    </row>
    <row r="136" spans="1:6">
      <c r="A136">
        <v>67</v>
      </c>
      <c r="B136">
        <v>0.40390040544572681</v>
      </c>
      <c r="C136">
        <f>SUMPRODUCT(B$2:B$1025, COS(2*PI()*134*(ROW(B$2:B$1025)-1)/1024))</f>
        <v>0.87694335759448538</v>
      </c>
      <c r="D136">
        <f>SUMPRODUCT(B$2:B$1025, -SIN(2*PI()*134*(ROW(B$2:B$1025)-1)/1024))</f>
        <v>14.464653542059347</v>
      </c>
      <c r="E136">
        <f t="shared" si="5"/>
        <v>0.26171875</v>
      </c>
      <c r="F136">
        <f t="shared" si="4"/>
        <v>2.8303148876565608E-2</v>
      </c>
    </row>
    <row r="137" spans="1:6">
      <c r="A137">
        <v>67.5</v>
      </c>
      <c r="B137">
        <v>-0.19001311899648521</v>
      </c>
      <c r="C137">
        <f>SUMPRODUCT(B$2:B$1025, COS(2*PI()*135*(ROW(B$2:B$1025)-1)/1024))</f>
        <v>-7.0118000667009586</v>
      </c>
      <c r="D137">
        <f>SUMPRODUCT(B$2:B$1025, -SIN(2*PI()*135*(ROW(B$2:B$1025)-1)/1024))</f>
        <v>2.3049016364539412</v>
      </c>
      <c r="E137">
        <f t="shared" si="5"/>
        <v>0.263671875</v>
      </c>
      <c r="F137">
        <f t="shared" si="4"/>
        <v>1.4415850336002295E-2</v>
      </c>
    </row>
    <row r="138" spans="1:6">
      <c r="A138">
        <v>68</v>
      </c>
      <c r="B138">
        <v>-0.74443591075971505</v>
      </c>
      <c r="C138">
        <f>SUMPRODUCT(B$2:B$1025, COS(2*PI()*136*(ROW(B$2:B$1025)-1)/1024))</f>
        <v>-3.7235909209474829</v>
      </c>
      <c r="D138">
        <f>SUMPRODUCT(B$2:B$1025, -SIN(2*PI()*136*(ROW(B$2:B$1025)-1)/1024))</f>
        <v>1.0592339134452422</v>
      </c>
      <c r="E138">
        <f t="shared" si="5"/>
        <v>0.265625</v>
      </c>
      <c r="F138">
        <f t="shared" si="4"/>
        <v>7.5611686682127395E-3</v>
      </c>
    </row>
    <row r="139" spans="1:6">
      <c r="A139">
        <v>68.5</v>
      </c>
      <c r="B139">
        <v>-0.51546881953628887</v>
      </c>
      <c r="C139">
        <f>SUMPRODUCT(B$2:B$1025, COS(2*PI()*137*(ROW(B$2:B$1025)-1)/1024))</f>
        <v>1.847328707108209</v>
      </c>
      <c r="D139">
        <f>SUMPRODUCT(B$2:B$1025, -SIN(2*PI()*137*(ROW(B$2:B$1025)-1)/1024))</f>
        <v>0.11976119979541926</v>
      </c>
      <c r="E139">
        <f t="shared" si="5"/>
        <v>0.267578125</v>
      </c>
      <c r="F139">
        <f t="shared" si="4"/>
        <v>3.6156380073135486E-3</v>
      </c>
    </row>
    <row r="140" spans="1:6">
      <c r="A140">
        <v>69</v>
      </c>
      <c r="B140">
        <v>-0.78835307282121603</v>
      </c>
      <c r="C140">
        <f>SUMPRODUCT(B$2:B$1025, COS(2*PI()*138*(ROW(B$2:B$1025)-1)/1024))</f>
        <v>-3.8793182246712363</v>
      </c>
      <c r="D140">
        <f>SUMPRODUCT(B$2:B$1025, -SIN(2*PI()*138*(ROW(B$2:B$1025)-1)/1024))</f>
        <v>-2.5993584935769567</v>
      </c>
      <c r="E140">
        <f t="shared" si="5"/>
        <v>0.26953125</v>
      </c>
      <c r="F140">
        <f t="shared" si="4"/>
        <v>9.1204401336668125E-3</v>
      </c>
    </row>
    <row r="141" spans="1:6">
      <c r="A141">
        <v>69.5</v>
      </c>
      <c r="B141">
        <v>-1.3339581155792699</v>
      </c>
      <c r="C141">
        <f>SUMPRODUCT(B$2:B$1025, COS(2*PI()*139*(ROW(B$2:B$1025)-1)/1024))</f>
        <v>-7.0523082548393941</v>
      </c>
      <c r="D141">
        <f>SUMPRODUCT(B$2:B$1025, -SIN(2*PI()*139*(ROW(B$2:B$1025)-1)/1024))</f>
        <v>-1.8339193202748414</v>
      </c>
      <c r="E141">
        <f t="shared" si="5"/>
        <v>0.271484375</v>
      </c>
      <c r="F141">
        <f t="shared" si="4"/>
        <v>1.4232146177298271E-2</v>
      </c>
    </row>
    <row r="142" spans="1:6">
      <c r="A142">
        <v>70</v>
      </c>
      <c r="B142">
        <v>4.5491986920814617E-2</v>
      </c>
      <c r="C142">
        <f>SUMPRODUCT(B$2:B$1025, COS(2*PI()*140*(ROW(B$2:B$1025)-1)/1024))</f>
        <v>1.8425500276108167</v>
      </c>
      <c r="D142">
        <f>SUMPRODUCT(B$2:B$1025, -SIN(2*PI()*140*(ROW(B$2:B$1025)-1)/1024))</f>
        <v>4.4155192966360346</v>
      </c>
      <c r="E142">
        <f t="shared" si="5"/>
        <v>0.2734375</v>
      </c>
      <c r="F142">
        <f t="shared" si="4"/>
        <v>9.3448002484811093E-3</v>
      </c>
    </row>
    <row r="143" spans="1:6">
      <c r="A143">
        <v>70.5</v>
      </c>
      <c r="B143">
        <v>1.3492138031489589</v>
      </c>
      <c r="C143">
        <f>SUMPRODUCT(B$2:B$1025, COS(2*PI()*141*(ROW(B$2:B$1025)-1)/1024))</f>
        <v>-1.6620046945533793</v>
      </c>
      <c r="D143">
        <f>SUMPRODUCT(B$2:B$1025, -SIN(2*PI()*141*(ROW(B$2:B$1025)-1)/1024))</f>
        <v>6.0544496930499685</v>
      </c>
      <c r="E143">
        <f t="shared" si="5"/>
        <v>0.275390625</v>
      </c>
      <c r="F143">
        <f t="shared" si="4"/>
        <v>1.2262548860752443E-2</v>
      </c>
    </row>
    <row r="144" spans="1:6">
      <c r="A144">
        <v>71</v>
      </c>
      <c r="B144">
        <v>0.62955986938290376</v>
      </c>
      <c r="C144">
        <f>SUMPRODUCT(B$2:B$1025, COS(2*PI()*142*(ROW(B$2:B$1025)-1)/1024))</f>
        <v>0.11753504703722262</v>
      </c>
      <c r="D144">
        <f>SUMPRODUCT(B$2:B$1025, -SIN(2*PI()*142*(ROW(B$2:B$1025)-1)/1024))</f>
        <v>9.2339269648654501</v>
      </c>
      <c r="E144">
        <f t="shared" si="5"/>
        <v>0.27734375</v>
      </c>
      <c r="F144">
        <f t="shared" si="4"/>
        <v>1.8036474537901678E-2</v>
      </c>
    </row>
    <row r="145" spans="1:6">
      <c r="A145">
        <v>71.5</v>
      </c>
      <c r="B145">
        <v>0.48798328800161661</v>
      </c>
      <c r="C145">
        <f>SUMPRODUCT(B$2:B$1025, COS(2*PI()*143*(ROW(B$2:B$1025)-1)/1024))</f>
        <v>5.5425770747069851</v>
      </c>
      <c r="D145">
        <f>SUMPRODUCT(B$2:B$1025, -SIN(2*PI()*143*(ROW(B$2:B$1025)-1)/1024))</f>
        <v>6.0405014046181122</v>
      </c>
      <c r="E145">
        <f t="shared" si="5"/>
        <v>0.279296875</v>
      </c>
      <c r="F145">
        <f t="shared" si="4"/>
        <v>1.6011791872691316E-2</v>
      </c>
    </row>
    <row r="146" spans="1:6">
      <c r="A146">
        <v>72</v>
      </c>
      <c r="B146">
        <v>0.63976181114215624</v>
      </c>
      <c r="C146">
        <f>SUMPRODUCT(B$2:B$1025, COS(2*PI()*144*(ROW(B$2:B$1025)-1)/1024))</f>
        <v>-3.7737249428667963</v>
      </c>
      <c r="D146">
        <f>SUMPRODUCT(B$2:B$1025, -SIN(2*PI()*144*(ROW(B$2:B$1025)-1)/1024))</f>
        <v>4.7415149406185551</v>
      </c>
      <c r="E146">
        <f t="shared" si="5"/>
        <v>0.28125</v>
      </c>
      <c r="F146">
        <f t="shared" si="4"/>
        <v>1.1835834988940227E-2</v>
      </c>
    </row>
    <row r="147" spans="1:6">
      <c r="A147">
        <v>72.5</v>
      </c>
      <c r="B147">
        <v>0.65636457435546203</v>
      </c>
      <c r="C147">
        <f>SUMPRODUCT(B$2:B$1025, COS(2*PI()*145*(ROW(B$2:B$1025)-1)/1024))</f>
        <v>2.7312356694908457</v>
      </c>
      <c r="D147">
        <f>SUMPRODUCT(B$2:B$1025, -SIN(2*PI()*145*(ROW(B$2:B$1025)-1)/1024))</f>
        <v>3.3229958095209104</v>
      </c>
      <c r="E147">
        <f t="shared" si="5"/>
        <v>0.283203125</v>
      </c>
      <c r="F147">
        <f t="shared" si="4"/>
        <v>8.4011508680942176E-3</v>
      </c>
    </row>
    <row r="148" spans="1:6">
      <c r="A148">
        <v>73</v>
      </c>
      <c r="B148">
        <v>-0.83517539446808264</v>
      </c>
      <c r="C148">
        <f>SUMPRODUCT(B$2:B$1025, COS(2*PI()*146*(ROW(B$2:B$1025)-1)/1024))</f>
        <v>4.6701577648883159</v>
      </c>
      <c r="D148">
        <f>SUMPRODUCT(B$2:B$1025, -SIN(2*PI()*146*(ROW(B$2:B$1025)-1)/1024))</f>
        <v>8.1157866800051739</v>
      </c>
      <c r="E148">
        <f t="shared" si="5"/>
        <v>0.28515625</v>
      </c>
      <c r="F148">
        <f t="shared" si="4"/>
        <v>1.8288214713167824E-2</v>
      </c>
    </row>
    <row r="149" spans="1:6">
      <c r="A149">
        <v>73.5</v>
      </c>
      <c r="B149">
        <v>-1.715147838912007</v>
      </c>
      <c r="C149">
        <f>SUMPRODUCT(B$2:B$1025, COS(2*PI()*147*(ROW(B$2:B$1025)-1)/1024))</f>
        <v>-3.8341209867848565</v>
      </c>
      <c r="D149">
        <f>SUMPRODUCT(B$2:B$1025, -SIN(2*PI()*147*(ROW(B$2:B$1025)-1)/1024))</f>
        <v>5.6235304679734588</v>
      </c>
      <c r="E149">
        <f t="shared" si="5"/>
        <v>0.287109375</v>
      </c>
      <c r="F149">
        <f t="shared" si="4"/>
        <v>1.3293390973210221E-2</v>
      </c>
    </row>
    <row r="150" spans="1:6">
      <c r="A150">
        <v>74</v>
      </c>
      <c r="B150">
        <v>-0.84666820317177605</v>
      </c>
      <c r="C150">
        <f>SUMPRODUCT(B$2:B$1025, COS(2*PI()*148*(ROW(B$2:B$1025)-1)/1024))</f>
        <v>-3.9545502047473202</v>
      </c>
      <c r="D150">
        <f>SUMPRODUCT(B$2:B$1025, -SIN(2*PI()*148*(ROW(B$2:B$1025)-1)/1024))</f>
        <v>8.1783508788786925</v>
      </c>
      <c r="E150">
        <f t="shared" si="5"/>
        <v>0.2890625</v>
      </c>
      <c r="F150">
        <f t="shared" si="4"/>
        <v>1.774270720982616E-2</v>
      </c>
    </row>
    <row r="151" spans="1:6">
      <c r="A151">
        <v>74.5</v>
      </c>
      <c r="B151">
        <v>-2.8388317645836089E-2</v>
      </c>
      <c r="C151">
        <f>SUMPRODUCT(B$2:B$1025, COS(2*PI()*149*(ROW(B$2:B$1025)-1)/1024))</f>
        <v>-1.4326964343407047</v>
      </c>
      <c r="D151">
        <f>SUMPRODUCT(B$2:B$1025, -SIN(2*PI()*149*(ROW(B$2:B$1025)-1)/1024))</f>
        <v>-0.25764227748795399</v>
      </c>
      <c r="E151">
        <f t="shared" si="5"/>
        <v>0.291015625</v>
      </c>
      <c r="F151">
        <f t="shared" si="4"/>
        <v>2.8431212121157964E-3</v>
      </c>
    </row>
    <row r="152" spans="1:6">
      <c r="A152">
        <v>75</v>
      </c>
      <c r="B152">
        <v>5.00985700691709E-2</v>
      </c>
      <c r="C152">
        <f>SUMPRODUCT(B$2:B$1025, COS(2*PI()*150*(ROW(B$2:B$1025)-1)/1024))</f>
        <v>-6.9255906322086993</v>
      </c>
      <c r="D152">
        <f>SUMPRODUCT(B$2:B$1025, -SIN(2*PI()*150*(ROW(B$2:B$1025)-1)/1024))</f>
        <v>3.2539875066815913</v>
      </c>
      <c r="E152">
        <f t="shared" si="5"/>
        <v>0.29296875</v>
      </c>
      <c r="F152">
        <f t="shared" si="4"/>
        <v>1.4945202272408318E-2</v>
      </c>
    </row>
    <row r="153" spans="1:6">
      <c r="A153">
        <v>75.5</v>
      </c>
      <c r="B153">
        <v>0.15707489419186241</v>
      </c>
      <c r="C153">
        <f>SUMPRODUCT(B$2:B$1025, COS(2*PI()*151*(ROW(B$2:B$1025)-1)/1024))</f>
        <v>9.0481516513973101</v>
      </c>
      <c r="D153">
        <f>SUMPRODUCT(B$2:B$1025, -SIN(2*PI()*151*(ROW(B$2:B$1025)-1)/1024))</f>
        <v>1.0592370645822431</v>
      </c>
      <c r="E153">
        <f t="shared" si="5"/>
        <v>0.294921875</v>
      </c>
      <c r="F153">
        <f t="shared" si="4"/>
        <v>1.7792854206211114E-2</v>
      </c>
    </row>
    <row r="154" spans="1:6">
      <c r="A154">
        <v>76</v>
      </c>
      <c r="B154">
        <v>0.81505157197944245</v>
      </c>
      <c r="C154">
        <f>SUMPRODUCT(B$2:B$1025, COS(2*PI()*152*(ROW(B$2:B$1025)-1)/1024))</f>
        <v>-3.9436134116733714</v>
      </c>
      <c r="D154">
        <f>SUMPRODUCT(B$2:B$1025, -SIN(2*PI()*152*(ROW(B$2:B$1025)-1)/1024))</f>
        <v>10.02592311000023</v>
      </c>
      <c r="E154">
        <f t="shared" si="5"/>
        <v>0.296875</v>
      </c>
      <c r="F154">
        <f t="shared" si="4"/>
        <v>2.1042256750868953E-2</v>
      </c>
    </row>
    <row r="155" spans="1:6">
      <c r="A155">
        <v>76.5</v>
      </c>
      <c r="B155">
        <v>1.4975072557273541</v>
      </c>
      <c r="C155">
        <f>SUMPRODUCT(B$2:B$1025, COS(2*PI()*153*(ROW(B$2:B$1025)-1)/1024))</f>
        <v>6.3300731084007467</v>
      </c>
      <c r="D155">
        <f>SUMPRODUCT(B$2:B$1025, -SIN(2*PI()*153*(ROW(B$2:B$1025)-1)/1024))</f>
        <v>3.3246117899811849</v>
      </c>
      <c r="E155">
        <f t="shared" si="5"/>
        <v>0.298828125</v>
      </c>
      <c r="F155">
        <f t="shared" si="4"/>
        <v>1.3964894163996112E-2</v>
      </c>
    </row>
    <row r="156" spans="1:6">
      <c r="A156">
        <v>77</v>
      </c>
      <c r="B156">
        <v>0.64639974695220959</v>
      </c>
      <c r="C156">
        <f>SUMPRODUCT(B$2:B$1025, COS(2*PI()*154*(ROW(B$2:B$1025)-1)/1024))</f>
        <v>0.51914702211555541</v>
      </c>
      <c r="D156">
        <f>SUMPRODUCT(B$2:B$1025, -SIN(2*PI()*154*(ROW(B$2:B$1025)-1)/1024))</f>
        <v>0.88124726985663393</v>
      </c>
      <c r="E156">
        <f t="shared" si="5"/>
        <v>0.30078125</v>
      </c>
      <c r="F156">
        <f t="shared" si="4"/>
        <v>1.9976472187826911E-3</v>
      </c>
    </row>
    <row r="157" spans="1:6">
      <c r="A157">
        <v>77.5</v>
      </c>
      <c r="B157">
        <v>-0.64287028360526621</v>
      </c>
      <c r="C157">
        <f>SUMPRODUCT(B$2:B$1025, COS(2*PI()*155*(ROW(B$2:B$1025)-1)/1024))</f>
        <v>-5.3725119529433467</v>
      </c>
      <c r="D157">
        <f>SUMPRODUCT(B$2:B$1025, -SIN(2*PI()*155*(ROW(B$2:B$1025)-1)/1024))</f>
        <v>1.8651536114388125</v>
      </c>
      <c r="E157">
        <f t="shared" si="5"/>
        <v>0.302734375</v>
      </c>
      <c r="F157">
        <f t="shared" si="4"/>
        <v>1.1107544426097434E-2</v>
      </c>
    </row>
    <row r="158" spans="1:6">
      <c r="A158">
        <v>78</v>
      </c>
      <c r="B158">
        <v>-0.21463035006352699</v>
      </c>
      <c r="C158">
        <f>SUMPRODUCT(B$2:B$1025, COS(2*PI()*156*(ROW(B$2:B$1025)-1)/1024))</f>
        <v>-0.90970704428056792</v>
      </c>
      <c r="D158">
        <f>SUMPRODUCT(B$2:B$1025, -SIN(2*PI()*156*(ROW(B$2:B$1025)-1)/1024))</f>
        <v>-1.8495448742098879</v>
      </c>
      <c r="E158">
        <f t="shared" si="5"/>
        <v>0.3046875</v>
      </c>
      <c r="F158">
        <f t="shared" si="4"/>
        <v>4.0257043580593337E-3</v>
      </c>
    </row>
    <row r="159" spans="1:6">
      <c r="A159">
        <v>78.5</v>
      </c>
      <c r="B159">
        <v>-0.35628993211279608</v>
      </c>
      <c r="C159">
        <f>SUMPRODUCT(B$2:B$1025, COS(2*PI()*157*(ROW(B$2:B$1025)-1)/1024))</f>
        <v>-5.5516132335336863</v>
      </c>
      <c r="D159">
        <f>SUMPRODUCT(B$2:B$1025, -SIN(2*PI()*157*(ROW(B$2:B$1025)-1)/1024))</f>
        <v>3.825294544908231</v>
      </c>
      <c r="E159">
        <f t="shared" si="5"/>
        <v>0.306640625</v>
      </c>
      <c r="F159">
        <f t="shared" si="4"/>
        <v>1.3167783901448857E-2</v>
      </c>
    </row>
    <row r="160" spans="1:6">
      <c r="A160">
        <v>79</v>
      </c>
      <c r="B160">
        <v>-1.189317215735687</v>
      </c>
      <c r="C160">
        <f>SUMPRODUCT(B$2:B$1025, COS(2*PI()*158*(ROW(B$2:B$1025)-1)/1024))</f>
        <v>-3.8756840907084995</v>
      </c>
      <c r="D160">
        <f>SUMPRODUCT(B$2:B$1025, -SIN(2*PI()*158*(ROW(B$2:B$1025)-1)/1024))</f>
        <v>-1.7964339808045762</v>
      </c>
      <c r="E160">
        <f t="shared" si="5"/>
        <v>0.30859375</v>
      </c>
      <c r="F160">
        <f t="shared" si="4"/>
        <v>8.3433198209840135E-3</v>
      </c>
    </row>
    <row r="161" spans="1:6">
      <c r="A161">
        <v>79.5</v>
      </c>
      <c r="B161">
        <v>-0.95647453056571319</v>
      </c>
      <c r="C161">
        <f>SUMPRODUCT(B$2:B$1025, COS(2*PI()*159*(ROW(B$2:B$1025)-1)/1024))</f>
        <v>-4.5549208538915202</v>
      </c>
      <c r="D161">
        <f>SUMPRODUCT(B$2:B$1025, -SIN(2*PI()*159*(ROW(B$2:B$1025)-1)/1024))</f>
        <v>0.88669722718183974</v>
      </c>
      <c r="E161">
        <f t="shared" si="5"/>
        <v>0.310546875</v>
      </c>
      <c r="F161">
        <f t="shared" si="4"/>
        <v>9.0633283476804789E-3</v>
      </c>
    </row>
    <row r="162" spans="1:6">
      <c r="A162">
        <v>80</v>
      </c>
      <c r="B162">
        <v>-0.19493633404547309</v>
      </c>
      <c r="C162">
        <f>SUMPRODUCT(B$2:B$1025, COS(2*PI()*160*(ROW(B$2:B$1025)-1)/1024))</f>
        <v>-7.8465708187201528</v>
      </c>
      <c r="D162">
        <f>SUMPRODUCT(B$2:B$1025, -SIN(2*PI()*160*(ROW(B$2:B$1025)-1)/1024))</f>
        <v>0.15773452271386484</v>
      </c>
      <c r="E162">
        <f t="shared" si="5"/>
        <v>0.3125</v>
      </c>
      <c r="F162">
        <f t="shared" si="4"/>
        <v>1.5328429835886571E-2</v>
      </c>
    </row>
    <row r="163" spans="1:6">
      <c r="A163">
        <v>80.5</v>
      </c>
      <c r="B163">
        <v>1.245202173040963</v>
      </c>
      <c r="C163">
        <f>SUMPRODUCT(B$2:B$1025, COS(2*PI()*161*(ROW(B$2:B$1025)-1)/1024))</f>
        <v>-0.10770145762483185</v>
      </c>
      <c r="D163">
        <f>SUMPRODUCT(B$2:B$1025, -SIN(2*PI()*161*(ROW(B$2:B$1025)-1)/1024))</f>
        <v>-1.8217784481733783</v>
      </c>
      <c r="E163">
        <f t="shared" si="5"/>
        <v>0.314453125</v>
      </c>
      <c r="F163">
        <f t="shared" si="4"/>
        <v>3.5643735640754279E-3</v>
      </c>
    </row>
    <row r="164" spans="1:6">
      <c r="A164">
        <v>81</v>
      </c>
      <c r="B164">
        <v>1.182775632096646</v>
      </c>
      <c r="C164">
        <f>SUMPRODUCT(B$2:B$1025, COS(2*PI()*162*(ROW(B$2:B$1025)-1)/1024))</f>
        <v>-0.23006183395416047</v>
      </c>
      <c r="D164">
        <f>SUMPRODUCT(B$2:B$1025, -SIN(2*PI()*162*(ROW(B$2:B$1025)-1)/1024))</f>
        <v>5.2378233298352495</v>
      </c>
      <c r="E164">
        <f t="shared" si="5"/>
        <v>0.31640625</v>
      </c>
      <c r="F164">
        <f t="shared" si="4"/>
        <v>1.0239987145432356E-2</v>
      </c>
    </row>
    <row r="165" spans="1:6">
      <c r="A165">
        <v>81.5</v>
      </c>
      <c r="B165">
        <v>0.28692005262481379</v>
      </c>
      <c r="C165">
        <f>SUMPRODUCT(B$2:B$1025, COS(2*PI()*163*(ROW(B$2:B$1025)-1)/1024))</f>
        <v>-2.6247815480203078</v>
      </c>
      <c r="D165">
        <f>SUMPRODUCT(B$2:B$1025, -SIN(2*PI()*163*(ROW(B$2:B$1025)-1)/1024))</f>
        <v>-7.4193887074833986</v>
      </c>
      <c r="E165">
        <f t="shared" si="5"/>
        <v>0.318359375</v>
      </c>
      <c r="F165">
        <f t="shared" si="4"/>
        <v>1.5371082205905178E-2</v>
      </c>
    </row>
    <row r="166" spans="1:6">
      <c r="A166">
        <v>82</v>
      </c>
      <c r="B166">
        <v>0.78046047814132513</v>
      </c>
      <c r="C166">
        <f>SUMPRODUCT(B$2:B$1025, COS(2*PI()*164*(ROW(B$2:B$1025)-1)/1024))</f>
        <v>1.1001904002874001</v>
      </c>
      <c r="D166">
        <f>SUMPRODUCT(B$2:B$1025, -SIN(2*PI()*164*(ROW(B$2:B$1025)-1)/1024))</f>
        <v>6.2224015860368258</v>
      </c>
      <c r="E166">
        <f t="shared" si="5"/>
        <v>0.3203125</v>
      </c>
      <c r="F166">
        <f t="shared" si="4"/>
        <v>1.2341632967006041E-2</v>
      </c>
    </row>
    <row r="167" spans="1:6">
      <c r="A167">
        <v>82.5</v>
      </c>
      <c r="B167">
        <v>0.58255618538730014</v>
      </c>
      <c r="C167">
        <f>SUMPRODUCT(B$2:B$1025, COS(2*PI()*165*(ROW(B$2:B$1025)-1)/1024))</f>
        <v>2.1772482244614491</v>
      </c>
      <c r="D167">
        <f>SUMPRODUCT(B$2:B$1025, -SIN(2*PI()*165*(ROW(B$2:B$1025)-1)/1024))</f>
        <v>2.7503582307217318</v>
      </c>
      <c r="E167">
        <f t="shared" si="5"/>
        <v>0.322265625</v>
      </c>
      <c r="F167">
        <f t="shared" si="4"/>
        <v>6.8512329518438733E-3</v>
      </c>
    </row>
    <row r="168" spans="1:6">
      <c r="A168">
        <v>83</v>
      </c>
      <c r="B168">
        <v>-0.42337322029357349</v>
      </c>
      <c r="C168">
        <f>SUMPRODUCT(B$2:B$1025, COS(2*PI()*166*(ROW(B$2:B$1025)-1)/1024))</f>
        <v>-0.72609480550196004</v>
      </c>
      <c r="D168">
        <f>SUMPRODUCT(B$2:B$1025, -SIN(2*PI()*166*(ROW(B$2:B$1025)-1)/1024))</f>
        <v>4.7500249874665004</v>
      </c>
      <c r="E168">
        <f t="shared" si="5"/>
        <v>0.32421875</v>
      </c>
      <c r="F168">
        <f t="shared" si="4"/>
        <v>9.3851570645742677E-3</v>
      </c>
    </row>
    <row r="169" spans="1:6">
      <c r="A169">
        <v>83.5</v>
      </c>
      <c r="B169">
        <v>-1.0716979197643619</v>
      </c>
      <c r="C169">
        <f>SUMPRODUCT(B$2:B$1025, COS(2*PI()*167*(ROW(B$2:B$1025)-1)/1024))</f>
        <v>-0.1695964518348585</v>
      </c>
      <c r="D169">
        <f>SUMPRODUCT(B$2:B$1025, -SIN(2*PI()*167*(ROW(B$2:B$1025)-1)/1024))</f>
        <v>1.5682995952499617</v>
      </c>
      <c r="E169">
        <f t="shared" si="5"/>
        <v>0.326171875</v>
      </c>
      <c r="F169">
        <f t="shared" si="4"/>
        <v>3.0809434576149581E-3</v>
      </c>
    </row>
    <row r="170" spans="1:6">
      <c r="A170">
        <v>84</v>
      </c>
      <c r="B170">
        <v>-1.000134139495727</v>
      </c>
      <c r="C170">
        <f>SUMPRODUCT(B$2:B$1025, COS(2*PI()*168*(ROW(B$2:B$1025)-1)/1024))</f>
        <v>-3.4735450466665783</v>
      </c>
      <c r="D170">
        <f>SUMPRODUCT(B$2:B$1025, -SIN(2*PI()*168*(ROW(B$2:B$1025)-1)/1024))</f>
        <v>4.8578729361346911</v>
      </c>
      <c r="E170">
        <f t="shared" si="5"/>
        <v>0.328125</v>
      </c>
      <c r="F170">
        <f t="shared" si="4"/>
        <v>1.1664007008952683E-2</v>
      </c>
    </row>
    <row r="171" spans="1:6">
      <c r="A171">
        <v>84.5</v>
      </c>
      <c r="B171">
        <v>-0.2385324851639716</v>
      </c>
      <c r="C171">
        <f>SUMPRODUCT(B$2:B$1025, COS(2*PI()*169*(ROW(B$2:B$1025)-1)/1024))</f>
        <v>3.8020003608083628</v>
      </c>
      <c r="D171">
        <f>SUMPRODUCT(B$2:B$1025, -SIN(2*PI()*169*(ROW(B$2:B$1025)-1)/1024))</f>
        <v>13.010581938329992</v>
      </c>
      <c r="E171">
        <f t="shared" si="5"/>
        <v>0.330078125</v>
      </c>
      <c r="F171">
        <f t="shared" si="4"/>
        <v>2.6474063569103E-2</v>
      </c>
    </row>
    <row r="172" spans="1:6">
      <c r="A172">
        <v>85</v>
      </c>
      <c r="B172">
        <v>-0.17790288592509829</v>
      </c>
      <c r="C172">
        <f>SUMPRODUCT(B$2:B$1025, COS(2*PI()*170*(ROW(B$2:B$1025)-1)/1024))</f>
        <v>3.2281019467268854</v>
      </c>
      <c r="D172">
        <f>SUMPRODUCT(B$2:B$1025, -SIN(2*PI()*170*(ROW(B$2:B$1025)-1)/1024))</f>
        <v>7.0626532675231619</v>
      </c>
      <c r="E172">
        <f t="shared" si="5"/>
        <v>0.33203125</v>
      </c>
      <c r="F172">
        <f t="shared" si="4"/>
        <v>1.5166831608828462E-2</v>
      </c>
    </row>
    <row r="173" spans="1:6">
      <c r="A173">
        <v>85.5</v>
      </c>
      <c r="B173">
        <v>-7.5376804700620692E-2</v>
      </c>
      <c r="C173">
        <f>SUMPRODUCT(B$2:B$1025, COS(2*PI()*171*(ROW(B$2:B$1025)-1)/1024))</f>
        <v>2.4559103812732532</v>
      </c>
      <c r="D173">
        <f>SUMPRODUCT(B$2:B$1025, -SIN(2*PI()*171*(ROW(B$2:B$1025)-1)/1024))</f>
        <v>-3.133332416261617</v>
      </c>
      <c r="E173">
        <f t="shared" si="5"/>
        <v>0.333984375</v>
      </c>
      <c r="F173">
        <f t="shared" si="4"/>
        <v>7.7756130729043794E-3</v>
      </c>
    </row>
    <row r="174" spans="1:6">
      <c r="A174">
        <v>86</v>
      </c>
      <c r="B174">
        <v>0.93563617441232272</v>
      </c>
      <c r="C174">
        <f>SUMPRODUCT(B$2:B$1025, COS(2*PI()*172*(ROW(B$2:B$1025)-1)/1024))</f>
        <v>9.9808128707851171</v>
      </c>
      <c r="D174">
        <f>SUMPRODUCT(B$2:B$1025, -SIN(2*PI()*172*(ROW(B$2:B$1025)-1)/1024))</f>
        <v>-2.7826214388569745</v>
      </c>
      <c r="E174">
        <f t="shared" si="5"/>
        <v>0.3359375</v>
      </c>
      <c r="F174">
        <f t="shared" si="4"/>
        <v>2.0237203405572841E-2</v>
      </c>
    </row>
    <row r="175" spans="1:6">
      <c r="A175">
        <v>86.5</v>
      </c>
      <c r="B175">
        <v>1.5192869112584819</v>
      </c>
      <c r="C175">
        <f>SUMPRODUCT(B$2:B$1025, COS(2*PI()*173*(ROW(B$2:B$1025)-1)/1024))</f>
        <v>-6.7164225683543908</v>
      </c>
      <c r="D175">
        <f>SUMPRODUCT(B$2:B$1025, -SIN(2*PI()*173*(ROW(B$2:B$1025)-1)/1024))</f>
        <v>0.9580110405635659</v>
      </c>
      <c r="E175">
        <f t="shared" si="5"/>
        <v>0.337890625</v>
      </c>
      <c r="F175">
        <f t="shared" si="4"/>
        <v>1.3250786131162292E-2</v>
      </c>
    </row>
    <row r="176" spans="1:6">
      <c r="A176">
        <v>87</v>
      </c>
      <c r="B176">
        <v>0.64312341215850033</v>
      </c>
      <c r="C176">
        <f>SUMPRODUCT(B$2:B$1025, COS(2*PI()*174*(ROW(B$2:B$1025)-1)/1024))</f>
        <v>-4.88178762561129</v>
      </c>
      <c r="D176">
        <f>SUMPRODUCT(B$2:B$1025, -SIN(2*PI()*174*(ROW(B$2:B$1025)-1)/1024))</f>
        <v>8.3878293116596059E-2</v>
      </c>
      <c r="E176">
        <f t="shared" si="5"/>
        <v>0.33984375</v>
      </c>
      <c r="F176">
        <f t="shared" si="4"/>
        <v>9.5361487614329301E-3</v>
      </c>
    </row>
    <row r="177" spans="1:6">
      <c r="A177">
        <v>87.5</v>
      </c>
      <c r="B177">
        <v>-0.33456335019278738</v>
      </c>
      <c r="C177">
        <f>SUMPRODUCT(B$2:B$1025, COS(2*PI()*175*(ROW(B$2:B$1025)-1)/1024))</f>
        <v>-3.2703215162716899</v>
      </c>
      <c r="D177">
        <f>SUMPRODUCT(B$2:B$1025, -SIN(2*PI()*175*(ROW(B$2:B$1025)-1)/1024))</f>
        <v>-2.3907733358583956</v>
      </c>
      <c r="E177">
        <f t="shared" si="5"/>
        <v>0.341796875</v>
      </c>
      <c r="F177">
        <f t="shared" si="4"/>
        <v>7.9121573383303286E-3</v>
      </c>
    </row>
    <row r="178" spans="1:6">
      <c r="A178">
        <v>88</v>
      </c>
      <c r="B178">
        <v>-0.58518487391690799</v>
      </c>
      <c r="C178">
        <f>SUMPRODUCT(B$2:B$1025, COS(2*PI()*176*(ROW(B$2:B$1025)-1)/1024))</f>
        <v>-1.6859330981218696</v>
      </c>
      <c r="D178">
        <f>SUMPRODUCT(B$2:B$1025, -SIN(2*PI()*176*(ROW(B$2:B$1025)-1)/1024))</f>
        <v>-0.14192290272687602</v>
      </c>
      <c r="E178">
        <f t="shared" si="5"/>
        <v>0.34375</v>
      </c>
      <c r="F178">
        <f t="shared" si="4"/>
        <v>3.3044846329190899E-3</v>
      </c>
    </row>
    <row r="179" spans="1:6">
      <c r="A179">
        <v>88.5</v>
      </c>
      <c r="B179">
        <v>-0.16034970086368999</v>
      </c>
      <c r="C179">
        <f>SUMPRODUCT(B$2:B$1025, COS(2*PI()*177*(ROW(B$2:B$1025)-1)/1024))</f>
        <v>4.5506898135781864</v>
      </c>
      <c r="D179">
        <f>SUMPRODUCT(B$2:B$1025, -SIN(2*PI()*177*(ROW(B$2:B$1025)-1)/1024))</f>
        <v>1.8922884257251127</v>
      </c>
      <c r="E179">
        <f t="shared" si="5"/>
        <v>0.345703125</v>
      </c>
      <c r="F179">
        <f t="shared" si="4"/>
        <v>9.6258618383682059E-3</v>
      </c>
    </row>
    <row r="180" spans="1:6">
      <c r="A180">
        <v>89</v>
      </c>
      <c r="B180">
        <v>-1.0039878829427471</v>
      </c>
      <c r="C180">
        <f>SUMPRODUCT(B$2:B$1025, COS(2*PI()*178*(ROW(B$2:B$1025)-1)/1024))</f>
        <v>-1.9861407716740289</v>
      </c>
      <c r="D180">
        <f>SUMPRODUCT(B$2:B$1025, -SIN(2*PI()*178*(ROW(B$2:B$1025)-1)/1024))</f>
        <v>-12.175052630706253</v>
      </c>
      <c r="E180">
        <f t="shared" si="5"/>
        <v>0.34765625</v>
      </c>
      <c r="F180">
        <f t="shared" si="4"/>
        <v>2.4093731453963738E-2</v>
      </c>
    </row>
    <row r="181" spans="1:6">
      <c r="A181">
        <v>89.5</v>
      </c>
      <c r="B181">
        <v>-0.54375141897455581</v>
      </c>
      <c r="C181">
        <f>SUMPRODUCT(B$2:B$1025, COS(2*PI()*179*(ROW(B$2:B$1025)-1)/1024))</f>
        <v>-2.3628664722744195</v>
      </c>
      <c r="D181">
        <f>SUMPRODUCT(B$2:B$1025, -SIN(2*PI()*179*(ROW(B$2:B$1025)-1)/1024))</f>
        <v>0.94709501168585142</v>
      </c>
      <c r="E181">
        <f t="shared" si="5"/>
        <v>0.349609375</v>
      </c>
      <c r="F181">
        <f t="shared" si="4"/>
        <v>4.9718932479662714E-3</v>
      </c>
    </row>
    <row r="182" spans="1:6">
      <c r="A182">
        <v>90</v>
      </c>
      <c r="B182">
        <v>0.1251334695529949</v>
      </c>
      <c r="C182">
        <f>SUMPRODUCT(B$2:B$1025, COS(2*PI()*180*(ROW(B$2:B$1025)-1)/1024))</f>
        <v>0.2213782603855593</v>
      </c>
      <c r="D182">
        <f>SUMPRODUCT(B$2:B$1025, -SIN(2*PI()*180*(ROW(B$2:B$1025)-1)/1024))</f>
        <v>3.7503737133431119</v>
      </c>
      <c r="E182">
        <f t="shared" si="5"/>
        <v>0.3515625</v>
      </c>
      <c r="F182">
        <f t="shared" si="4"/>
        <v>7.3376988772697318E-3</v>
      </c>
    </row>
    <row r="183" spans="1:6">
      <c r="A183">
        <v>90.5</v>
      </c>
      <c r="B183">
        <v>0.91635374100921596</v>
      </c>
      <c r="C183">
        <f>SUMPRODUCT(B$2:B$1025, COS(2*PI()*181*(ROW(B$2:B$1025)-1)/1024))</f>
        <v>8.2433314009280156</v>
      </c>
      <c r="D183">
        <f>SUMPRODUCT(B$2:B$1025, -SIN(2*PI()*181*(ROW(B$2:B$1025)-1)/1024))</f>
        <v>14.156964626776253</v>
      </c>
      <c r="E183">
        <f t="shared" si="5"/>
        <v>0.353515625</v>
      </c>
      <c r="F183">
        <f t="shared" si="4"/>
        <v>3.1996227043726913E-2</v>
      </c>
    </row>
    <row r="184" spans="1:6">
      <c r="A184">
        <v>91</v>
      </c>
      <c r="B184">
        <v>0.73687801668293484</v>
      </c>
      <c r="C184">
        <f>SUMPRODUCT(B$2:B$1025, COS(2*PI()*182*(ROW(B$2:B$1025)-1)/1024))</f>
        <v>-2.7302694537962982</v>
      </c>
      <c r="D184">
        <f>SUMPRODUCT(B$2:B$1025, -SIN(2*PI()*182*(ROW(B$2:B$1025)-1)/1024))</f>
        <v>2.0645249397617746</v>
      </c>
      <c r="E184">
        <f t="shared" si="5"/>
        <v>0.35546875</v>
      </c>
      <c r="F184">
        <f t="shared" si="4"/>
        <v>6.685462860207248E-3</v>
      </c>
    </row>
    <row r="185" spans="1:6">
      <c r="A185">
        <v>91.5</v>
      </c>
      <c r="B185">
        <v>0.54755099934379325</v>
      </c>
      <c r="C185">
        <f>SUMPRODUCT(B$2:B$1025, COS(2*PI()*183*(ROW(B$2:B$1025)-1)/1024))</f>
        <v>-8.758797818342634</v>
      </c>
      <c r="D185">
        <f>SUMPRODUCT(B$2:B$1025, -SIN(2*PI()*183*(ROW(B$2:B$1025)-1)/1024))</f>
        <v>-1.5902432599214671</v>
      </c>
      <c r="E185">
        <f t="shared" si="5"/>
        <v>0.357421875</v>
      </c>
      <c r="F185">
        <f t="shared" si="4"/>
        <v>1.7386697780367787E-2</v>
      </c>
    </row>
    <row r="186" spans="1:6">
      <c r="A186">
        <v>92</v>
      </c>
      <c r="B186">
        <v>0.54309269522729386</v>
      </c>
      <c r="C186">
        <f>SUMPRODUCT(B$2:B$1025, COS(2*PI()*184*(ROW(B$2:B$1025)-1)/1024))</f>
        <v>3.9661539289151904</v>
      </c>
      <c r="D186">
        <f>SUMPRODUCT(B$2:B$1025, -SIN(2*PI()*184*(ROW(B$2:B$1025)-1)/1024))</f>
        <v>9.3686070634975846E-2</v>
      </c>
      <c r="E186">
        <f t="shared" si="5"/>
        <v>0.359375</v>
      </c>
      <c r="F186">
        <f t="shared" si="4"/>
        <v>7.7485552192154573E-3</v>
      </c>
    </row>
    <row r="187" spans="1:6">
      <c r="A187">
        <v>92.5</v>
      </c>
      <c r="B187">
        <v>0.64280009881841926</v>
      </c>
      <c r="C187">
        <f>SUMPRODUCT(B$2:B$1025, COS(2*PI()*185*(ROW(B$2:B$1025)-1)/1024))</f>
        <v>-2.8038802600659611</v>
      </c>
      <c r="D187">
        <f>SUMPRODUCT(B$2:B$1025, -SIN(2*PI()*185*(ROW(B$2:B$1025)-1)/1024))</f>
        <v>3.1741027276714142</v>
      </c>
      <c r="E187">
        <f t="shared" si="5"/>
        <v>0.361328125</v>
      </c>
      <c r="F187">
        <f t="shared" si="4"/>
        <v>8.271818183983079E-3</v>
      </c>
    </row>
    <row r="188" spans="1:6">
      <c r="A188">
        <v>93</v>
      </c>
      <c r="B188">
        <v>-0.49313772737774819</v>
      </c>
      <c r="C188">
        <f>SUMPRODUCT(B$2:B$1025, COS(2*PI()*186*(ROW(B$2:B$1025)-1)/1024))</f>
        <v>9.6101443227858621</v>
      </c>
      <c r="D188">
        <f>SUMPRODUCT(B$2:B$1025, -SIN(2*PI()*186*(ROW(B$2:B$1025)-1)/1024))</f>
        <v>3.6084423774975174</v>
      </c>
      <c r="E188">
        <f t="shared" si="5"/>
        <v>0.36328125</v>
      </c>
      <c r="F188">
        <f t="shared" si="4"/>
        <v>2.0049351865466133E-2</v>
      </c>
    </row>
    <row r="189" spans="1:6">
      <c r="A189">
        <v>93.5</v>
      </c>
      <c r="B189">
        <v>-1.4656222988265259</v>
      </c>
      <c r="C189">
        <f>SUMPRODUCT(B$2:B$1025, COS(2*PI()*187*(ROW(B$2:B$1025)-1)/1024))</f>
        <v>0.6727962648628355</v>
      </c>
      <c r="D189">
        <f>SUMPRODUCT(B$2:B$1025, -SIN(2*PI()*187*(ROW(B$2:B$1025)-1)/1024))</f>
        <v>5.3657555626148525</v>
      </c>
      <c r="E189">
        <f t="shared" si="5"/>
        <v>0.365234375</v>
      </c>
      <c r="F189">
        <f t="shared" si="4"/>
        <v>1.0562052803594076E-2</v>
      </c>
    </row>
    <row r="190" spans="1:6">
      <c r="A190">
        <v>94</v>
      </c>
      <c r="B190">
        <v>-1.1204152599088311</v>
      </c>
      <c r="C190">
        <f>SUMPRODUCT(B$2:B$1025, COS(2*PI()*188*(ROW(B$2:B$1025)-1)/1024))</f>
        <v>5.8826779939159568</v>
      </c>
      <c r="D190">
        <f>SUMPRODUCT(B$2:B$1025, -SIN(2*PI()*188*(ROW(B$2:B$1025)-1)/1024))</f>
        <v>0.92835760561587577</v>
      </c>
      <c r="E190">
        <f t="shared" si="5"/>
        <v>0.3671875</v>
      </c>
      <c r="F190">
        <f t="shared" si="4"/>
        <v>1.1631797890609986E-2</v>
      </c>
    </row>
    <row r="191" spans="1:6">
      <c r="A191">
        <v>94.5</v>
      </c>
      <c r="B191">
        <v>-0.39075469722964701</v>
      </c>
      <c r="C191">
        <f>SUMPRODUCT(B$2:B$1025, COS(2*PI()*189*(ROW(B$2:B$1025)-1)/1024))</f>
        <v>-0.30469799970151357</v>
      </c>
      <c r="D191">
        <f>SUMPRODUCT(B$2:B$1025, -SIN(2*PI()*189*(ROW(B$2:B$1025)-1)/1024))</f>
        <v>2.4028180101658814</v>
      </c>
      <c r="E191">
        <f t="shared" si="5"/>
        <v>0.369140625</v>
      </c>
      <c r="F191">
        <f t="shared" si="4"/>
        <v>4.7305861864324417E-3</v>
      </c>
    </row>
    <row r="192" spans="1:6">
      <c r="A192">
        <v>95</v>
      </c>
      <c r="B192">
        <v>-8.9302990413415495E-2</v>
      </c>
      <c r="C192">
        <f>SUMPRODUCT(B$2:B$1025, COS(2*PI()*190*(ROW(B$2:B$1025)-1)/1024))</f>
        <v>6.1723987886379863</v>
      </c>
      <c r="D192">
        <f>SUMPRODUCT(B$2:B$1025, -SIN(2*PI()*190*(ROW(B$2:B$1025)-1)/1024))</f>
        <v>-4.3374060693083205</v>
      </c>
      <c r="E192">
        <f t="shared" si="5"/>
        <v>0.37109375</v>
      </c>
      <c r="F192">
        <f t="shared" si="4"/>
        <v>1.473433127417473E-2</v>
      </c>
    </row>
    <row r="193" spans="1:6">
      <c r="A193">
        <v>95.5</v>
      </c>
      <c r="B193">
        <v>0.25906501115716102</v>
      </c>
      <c r="C193">
        <f>SUMPRODUCT(B$2:B$1025, COS(2*PI()*191*(ROW(B$2:B$1025)-1)/1024))</f>
        <v>-5.275192220330938</v>
      </c>
      <c r="D193">
        <f>SUMPRODUCT(B$2:B$1025, -SIN(2*PI()*191*(ROW(B$2:B$1025)-1)/1024))</f>
        <v>-4.5813541619629214</v>
      </c>
      <c r="E193">
        <f t="shared" si="5"/>
        <v>0.373046875</v>
      </c>
      <c r="F193">
        <f t="shared" si="4"/>
        <v>1.3646245357421443E-2</v>
      </c>
    </row>
    <row r="194" spans="1:6">
      <c r="A194">
        <v>96</v>
      </c>
      <c r="B194">
        <v>0.99387526512118696</v>
      </c>
      <c r="C194">
        <f>SUMPRODUCT(B$2:B$1025, COS(2*PI()*192*(ROW(B$2:B$1025)-1)/1024))</f>
        <v>2.4600048961056897</v>
      </c>
      <c r="D194">
        <f>SUMPRODUCT(B$2:B$1025, -SIN(2*PI()*192*(ROW(B$2:B$1025)-1)/1024))</f>
        <v>0.92587335677222393</v>
      </c>
      <c r="E194">
        <f t="shared" si="5"/>
        <v>0.375</v>
      </c>
      <c r="F194">
        <f t="shared" si="4"/>
        <v>5.1337345633151411E-3</v>
      </c>
    </row>
    <row r="195" spans="1:6">
      <c r="A195">
        <v>96.5</v>
      </c>
      <c r="B195">
        <v>1.2019087605527561</v>
      </c>
      <c r="C195">
        <f>SUMPRODUCT(B$2:B$1025, COS(2*PI()*193*(ROW(B$2:B$1025)-1)/1024))</f>
        <v>1.3679490352512382</v>
      </c>
      <c r="D195">
        <f>SUMPRODUCT(B$2:B$1025, -SIN(2*PI()*193*(ROW(B$2:B$1025)-1)/1024))</f>
        <v>-5.5096651703422026</v>
      </c>
      <c r="E195">
        <f t="shared" si="5"/>
        <v>0.376953125</v>
      </c>
      <c r="F195">
        <f t="shared" ref="F195:F258" si="6">SQRT(C195^2 + D195^2)/(1024/2)</f>
        <v>1.1087781537826573E-2</v>
      </c>
    </row>
    <row r="196" spans="1:6">
      <c r="A196">
        <v>97</v>
      </c>
      <c r="B196">
        <v>0.62242143746271883</v>
      </c>
      <c r="C196">
        <f>SUMPRODUCT(B$2:B$1025, COS(2*PI()*194*(ROW(B$2:B$1025)-1)/1024))</f>
        <v>-3.9653311668301856</v>
      </c>
      <c r="D196">
        <f>SUMPRODUCT(B$2:B$1025, -SIN(2*PI()*194*(ROW(B$2:B$1025)-1)/1024))</f>
        <v>13.088453198216813</v>
      </c>
      <c r="E196">
        <f t="shared" ref="E196:E259" si="7">(ROW()-2)*(2/1024)</f>
        <v>0.37890625</v>
      </c>
      <c r="F196">
        <f t="shared" si="6"/>
        <v>2.6710829131372665E-2</v>
      </c>
    </row>
    <row r="197" spans="1:6">
      <c r="A197">
        <v>97.5</v>
      </c>
      <c r="B197">
        <v>-0.42293652405422422</v>
      </c>
      <c r="C197">
        <f>SUMPRODUCT(B$2:B$1025, COS(2*PI()*195*(ROW(B$2:B$1025)-1)/1024))</f>
        <v>0.92945997137343817</v>
      </c>
      <c r="D197">
        <f>SUMPRODUCT(B$2:B$1025, -SIN(2*PI()*195*(ROW(B$2:B$1025)-1)/1024))</f>
        <v>4.8427385524289654</v>
      </c>
      <c r="E197">
        <f t="shared" si="7"/>
        <v>0.380859375</v>
      </c>
      <c r="F197">
        <f t="shared" si="6"/>
        <v>9.6311072308527881E-3</v>
      </c>
    </row>
    <row r="198" spans="1:6">
      <c r="A198">
        <v>98</v>
      </c>
      <c r="B198">
        <v>-0.76455673953271253</v>
      </c>
      <c r="C198">
        <f>SUMPRODUCT(B$2:B$1025, COS(2*PI()*196*(ROW(B$2:B$1025)-1)/1024))</f>
        <v>0.18456747357178038</v>
      </c>
      <c r="D198">
        <f>SUMPRODUCT(B$2:B$1025, -SIN(2*PI()*196*(ROW(B$2:B$1025)-1)/1024))</f>
        <v>3.6946344117083685</v>
      </c>
      <c r="E198">
        <f t="shared" si="7"/>
        <v>0.3828125</v>
      </c>
      <c r="F198">
        <f t="shared" si="6"/>
        <v>7.2250812957520274E-3</v>
      </c>
    </row>
    <row r="199" spans="1:6">
      <c r="A199">
        <v>98.5</v>
      </c>
      <c r="B199">
        <v>-0.42031149510604771</v>
      </c>
      <c r="C199">
        <f>SUMPRODUCT(B$2:B$1025, COS(2*PI()*197*(ROW(B$2:B$1025)-1)/1024))</f>
        <v>1.5519888631668632</v>
      </c>
      <c r="D199">
        <f>SUMPRODUCT(B$2:B$1025, -SIN(2*PI()*197*(ROW(B$2:B$1025)-1)/1024))</f>
        <v>0.85108356756509629</v>
      </c>
      <c r="E199">
        <f t="shared" si="7"/>
        <v>0.384765625</v>
      </c>
      <c r="F199">
        <f t="shared" si="6"/>
        <v>3.4570934130916282E-3</v>
      </c>
    </row>
    <row r="200" spans="1:6">
      <c r="A200">
        <v>99</v>
      </c>
      <c r="B200">
        <v>-0.93941477260596362</v>
      </c>
      <c r="C200">
        <f>SUMPRODUCT(B$2:B$1025, COS(2*PI()*198*(ROW(B$2:B$1025)-1)/1024))</f>
        <v>7.6228161374045804</v>
      </c>
      <c r="D200">
        <f>SUMPRODUCT(B$2:B$1025, -SIN(2*PI()*198*(ROW(B$2:B$1025)-1)/1024))</f>
        <v>-1.4170774208081571</v>
      </c>
      <c r="E200">
        <f t="shared" si="7"/>
        <v>0.38671875</v>
      </c>
      <c r="F200">
        <f t="shared" si="6"/>
        <v>1.514338742733955E-2</v>
      </c>
    </row>
    <row r="201" spans="1:6">
      <c r="A201">
        <v>99.5</v>
      </c>
      <c r="B201">
        <v>-1.316379311858604</v>
      </c>
      <c r="C201">
        <f>SUMPRODUCT(B$2:B$1025, COS(2*PI()*199*(ROW(B$2:B$1025)-1)/1024))</f>
        <v>-0.2886518871846302</v>
      </c>
      <c r="D201">
        <f>SUMPRODUCT(B$2:B$1025, -SIN(2*PI()*199*(ROW(B$2:B$1025)-1)/1024))</f>
        <v>3.7912903028489833</v>
      </c>
      <c r="E201">
        <f t="shared" si="7"/>
        <v>0.388671875</v>
      </c>
      <c r="F201">
        <f t="shared" si="6"/>
        <v>7.4262944470557231E-3</v>
      </c>
    </row>
    <row r="202" spans="1:6">
      <c r="A202">
        <v>100</v>
      </c>
      <c r="B202">
        <v>7.1557472069652753E-2</v>
      </c>
      <c r="C202">
        <f>SUMPRODUCT(B$2:B$1025, COS(2*PI()*200*(ROW(B$2:B$1025)-1)/1024))</f>
        <v>5.1054229582136514</v>
      </c>
      <c r="D202">
        <f>SUMPRODUCT(B$2:B$1025, -SIN(2*PI()*200*(ROW(B$2:B$1025)-1)/1024))</f>
        <v>1.4966800720682516</v>
      </c>
      <c r="E202">
        <f t="shared" si="7"/>
        <v>0.390625</v>
      </c>
      <c r="F202">
        <f t="shared" si="6"/>
        <v>1.039117472780361E-2</v>
      </c>
    </row>
    <row r="203" spans="1:6">
      <c r="A203">
        <v>100.5</v>
      </c>
      <c r="B203">
        <v>1.1999421575661191</v>
      </c>
      <c r="C203">
        <f>SUMPRODUCT(B$2:B$1025, COS(2*PI()*201*(ROW(B$2:B$1025)-1)/1024))</f>
        <v>-7.8075998465606649</v>
      </c>
      <c r="D203">
        <f>SUMPRODUCT(B$2:B$1025, -SIN(2*PI()*201*(ROW(B$2:B$1025)-1)/1024))</f>
        <v>1.0107142617580034</v>
      </c>
      <c r="E203">
        <f t="shared" si="7"/>
        <v>0.392578125</v>
      </c>
      <c r="F203">
        <f t="shared" si="6"/>
        <v>1.5376460641213773E-2</v>
      </c>
    </row>
    <row r="204" spans="1:6">
      <c r="A204">
        <v>101</v>
      </c>
      <c r="B204">
        <v>1.1676667649302139</v>
      </c>
      <c r="C204">
        <f>SUMPRODUCT(B$2:B$1025, COS(2*PI()*202*(ROW(B$2:B$1025)-1)/1024))</f>
        <v>-3.6906832578493209</v>
      </c>
      <c r="D204">
        <f>SUMPRODUCT(B$2:B$1025, -SIN(2*PI()*202*(ROW(B$2:B$1025)-1)/1024))</f>
        <v>1.2473045945152996</v>
      </c>
      <c r="E204">
        <f t="shared" si="7"/>
        <v>0.39453125</v>
      </c>
      <c r="F204">
        <f t="shared" si="6"/>
        <v>7.6088976478115525E-3</v>
      </c>
    </row>
    <row r="205" spans="1:6">
      <c r="A205">
        <v>101.5</v>
      </c>
      <c r="B205">
        <v>0.66181692670213688</v>
      </c>
      <c r="C205">
        <f>SUMPRODUCT(B$2:B$1025, COS(2*PI()*203*(ROW(B$2:B$1025)-1)/1024))</f>
        <v>0.57532652835682829</v>
      </c>
      <c r="D205">
        <f>SUMPRODUCT(B$2:B$1025, -SIN(2*PI()*203*(ROW(B$2:B$1025)-1)/1024))</f>
        <v>-5.2314720652778055</v>
      </c>
      <c r="E205">
        <f t="shared" si="7"/>
        <v>0.396484375</v>
      </c>
      <c r="F205">
        <f t="shared" si="6"/>
        <v>1.0279321290705915E-2</v>
      </c>
    </row>
    <row r="206" spans="1:6">
      <c r="A206">
        <v>102</v>
      </c>
      <c r="B206">
        <v>0.31225137870106068</v>
      </c>
      <c r="C206">
        <f>SUMPRODUCT(B$2:B$1025, COS(2*PI()*204*(ROW(B$2:B$1025)-1)/1024))</f>
        <v>-7.8608508863063147</v>
      </c>
      <c r="D206">
        <f>SUMPRODUCT(B$2:B$1025, -SIN(2*PI()*204*(ROW(B$2:B$1025)-1)/1024))</f>
        <v>-3.0447689443490424</v>
      </c>
      <c r="E206">
        <f t="shared" si="7"/>
        <v>0.3984375</v>
      </c>
      <c r="F206">
        <f t="shared" si="6"/>
        <v>1.6464692524746555E-2</v>
      </c>
    </row>
    <row r="207" spans="1:6">
      <c r="A207">
        <v>102.5</v>
      </c>
      <c r="B207">
        <v>0.3124349920169911</v>
      </c>
      <c r="C207">
        <f>SUMPRODUCT(B$2:B$1025, COS(2*PI()*205*(ROW(B$2:B$1025)-1)/1024))</f>
        <v>5.1128704231468767</v>
      </c>
      <c r="D207">
        <f>SUMPRODUCT(B$2:B$1025, -SIN(2*PI()*205*(ROW(B$2:B$1025)-1)/1024))</f>
        <v>-1.1654542970388597</v>
      </c>
      <c r="E207">
        <f t="shared" si="7"/>
        <v>0.400390625</v>
      </c>
      <c r="F207">
        <f t="shared" si="6"/>
        <v>1.024222319593718E-2</v>
      </c>
    </row>
    <row r="208" spans="1:6">
      <c r="A208">
        <v>103</v>
      </c>
      <c r="B208">
        <v>-0.4847781988507161</v>
      </c>
      <c r="C208">
        <f>SUMPRODUCT(B$2:B$1025, COS(2*PI()*206*(ROW(B$2:B$1025)-1)/1024))</f>
        <v>-2.0643767579956545</v>
      </c>
      <c r="D208">
        <f>SUMPRODUCT(B$2:B$1025, -SIN(2*PI()*206*(ROW(B$2:B$1025)-1)/1024))</f>
        <v>1.438175741550954</v>
      </c>
      <c r="E208">
        <f t="shared" si="7"/>
        <v>0.40234375</v>
      </c>
      <c r="F208">
        <f t="shared" si="6"/>
        <v>4.9139634697185821E-3</v>
      </c>
    </row>
    <row r="209" spans="1:6">
      <c r="A209">
        <v>103.5</v>
      </c>
      <c r="B209">
        <v>-1.348299326112709</v>
      </c>
      <c r="C209">
        <f>SUMPRODUCT(B$2:B$1025, COS(2*PI()*207*(ROW(B$2:B$1025)-1)/1024))</f>
        <v>-3.8097265901856576</v>
      </c>
      <c r="D209">
        <f>SUMPRODUCT(B$2:B$1025, -SIN(2*PI()*207*(ROW(B$2:B$1025)-1)/1024))</f>
        <v>2.83321260667342</v>
      </c>
      <c r="E209">
        <f t="shared" si="7"/>
        <v>0.404296875</v>
      </c>
      <c r="F209">
        <f t="shared" si="6"/>
        <v>9.272945167504619E-3</v>
      </c>
    </row>
    <row r="210" spans="1:6">
      <c r="A210">
        <v>104</v>
      </c>
      <c r="B210">
        <v>-0.84804697903393778</v>
      </c>
      <c r="C210">
        <f>SUMPRODUCT(B$2:B$1025, COS(2*PI()*208*(ROW(B$2:B$1025)-1)/1024))</f>
        <v>-3.110426522742157</v>
      </c>
      <c r="D210">
        <f>SUMPRODUCT(B$2:B$1025, -SIN(2*PI()*208*(ROW(B$2:B$1025)-1)/1024))</f>
        <v>4.9776996797657951</v>
      </c>
      <c r="E210">
        <f t="shared" si="7"/>
        <v>0.40625</v>
      </c>
      <c r="F210">
        <f t="shared" si="6"/>
        <v>1.1464069670038619E-2</v>
      </c>
    </row>
    <row r="211" spans="1:6">
      <c r="A211">
        <v>104.5</v>
      </c>
      <c r="B211">
        <v>0.68276104583846986</v>
      </c>
      <c r="C211">
        <f>SUMPRODUCT(B$2:B$1025, COS(2*PI()*209*(ROW(B$2:B$1025)-1)/1024))</f>
        <v>1.9930037547100103</v>
      </c>
      <c r="D211">
        <f>SUMPRODUCT(B$2:B$1025, -SIN(2*PI()*209*(ROW(B$2:B$1025)-1)/1024))</f>
        <v>5.9955243010092456</v>
      </c>
      <c r="E211">
        <f t="shared" si="7"/>
        <v>0.408203125</v>
      </c>
      <c r="F211">
        <f t="shared" si="6"/>
        <v>1.2340037207753026E-2</v>
      </c>
    </row>
    <row r="212" spans="1:6">
      <c r="A212">
        <v>105</v>
      </c>
      <c r="B212">
        <v>0.1141781021386329</v>
      </c>
      <c r="C212">
        <f>SUMPRODUCT(B$2:B$1025, COS(2*PI()*210*(ROW(B$2:B$1025)-1)/1024))</f>
        <v>-7.7227007585220928</v>
      </c>
      <c r="D212">
        <f>SUMPRODUCT(B$2:B$1025, -SIN(2*PI()*210*(ROW(B$2:B$1025)-1)/1024))</f>
        <v>1.2438540473086634</v>
      </c>
      <c r="E212">
        <f t="shared" si="7"/>
        <v>0.41015625</v>
      </c>
      <c r="F212">
        <f t="shared" si="6"/>
        <v>1.5277792684576899E-2</v>
      </c>
    </row>
    <row r="213" spans="1:6">
      <c r="A213">
        <v>105.5</v>
      </c>
      <c r="B213">
        <v>0.3148983803285974</v>
      </c>
      <c r="C213">
        <f>SUMPRODUCT(B$2:B$1025, COS(2*PI()*211*(ROW(B$2:B$1025)-1)/1024))</f>
        <v>-5.3954952252360471</v>
      </c>
      <c r="D213">
        <f>SUMPRODUCT(B$2:B$1025, -SIN(2*PI()*211*(ROW(B$2:B$1025)-1)/1024))</f>
        <v>-2.562532933419309</v>
      </c>
      <c r="E213">
        <f t="shared" si="7"/>
        <v>0.412109375</v>
      </c>
      <c r="F213">
        <f t="shared" si="6"/>
        <v>1.1666214231957767E-2</v>
      </c>
    </row>
    <row r="214" spans="1:6">
      <c r="A214">
        <v>106</v>
      </c>
      <c r="B214">
        <v>1.141856868993794</v>
      </c>
      <c r="C214">
        <f>SUMPRODUCT(B$2:B$1025, COS(2*PI()*212*(ROW(B$2:B$1025)-1)/1024))</f>
        <v>-1.4685043022194151</v>
      </c>
      <c r="D214">
        <f>SUMPRODUCT(B$2:B$1025, -SIN(2*PI()*212*(ROW(B$2:B$1025)-1)/1024))</f>
        <v>-5.0654553719887367</v>
      </c>
      <c r="E214">
        <f t="shared" si="7"/>
        <v>0.4140625</v>
      </c>
      <c r="F214">
        <f t="shared" si="6"/>
        <v>1.030083069113474E-2</v>
      </c>
    </row>
    <row r="215" spans="1:6">
      <c r="A215">
        <v>106.5</v>
      </c>
      <c r="B215">
        <v>1.581334766556318</v>
      </c>
      <c r="C215">
        <f>SUMPRODUCT(B$2:B$1025, COS(2*PI()*213*(ROW(B$2:B$1025)-1)/1024))</f>
        <v>6.0278699434827256</v>
      </c>
      <c r="D215">
        <f>SUMPRODUCT(B$2:B$1025, -SIN(2*PI()*213*(ROW(B$2:B$1025)-1)/1024))</f>
        <v>2.3123359230043801</v>
      </c>
      <c r="E215">
        <f t="shared" si="7"/>
        <v>0.416015625</v>
      </c>
      <c r="F215">
        <f t="shared" si="6"/>
        <v>1.2609704370195896E-2</v>
      </c>
    </row>
    <row r="216" spans="1:6">
      <c r="A216">
        <v>107</v>
      </c>
      <c r="B216">
        <v>0.52473140336442237</v>
      </c>
      <c r="C216">
        <f>SUMPRODUCT(B$2:B$1025, COS(2*PI()*214*(ROW(B$2:B$1025)-1)/1024))</f>
        <v>-1.5373054357818279</v>
      </c>
      <c r="D216">
        <f>SUMPRODUCT(B$2:B$1025, -SIN(2*PI()*214*(ROW(B$2:B$1025)-1)/1024))</f>
        <v>-3.1660274896601686</v>
      </c>
      <c r="E216">
        <f t="shared" si="7"/>
        <v>0.41796875</v>
      </c>
      <c r="F216">
        <f t="shared" si="6"/>
        <v>6.8740672274741474E-3</v>
      </c>
    </row>
    <row r="217" spans="1:6">
      <c r="A217">
        <v>107.5</v>
      </c>
      <c r="B217">
        <v>-0.34820615590133758</v>
      </c>
      <c r="C217">
        <f>SUMPRODUCT(B$2:B$1025, COS(2*PI()*215*(ROW(B$2:B$1025)-1)/1024))</f>
        <v>7.2400989039141272E-2</v>
      </c>
      <c r="D217">
        <f>SUMPRODUCT(B$2:B$1025, -SIN(2*PI()*215*(ROW(B$2:B$1025)-1)/1024))</f>
        <v>2.4922089397307512</v>
      </c>
      <c r="E217">
        <f t="shared" si="7"/>
        <v>0.419921875</v>
      </c>
      <c r="F217">
        <f t="shared" si="6"/>
        <v>4.8696491718577895E-3</v>
      </c>
    </row>
    <row r="218" spans="1:6">
      <c r="A218">
        <v>108</v>
      </c>
      <c r="B218">
        <v>-0.74235029519999696</v>
      </c>
      <c r="C218">
        <f>SUMPRODUCT(B$2:B$1025, COS(2*PI()*216*(ROW(B$2:B$1025)-1)/1024))</f>
        <v>-4.6176272968336072</v>
      </c>
      <c r="D218">
        <f>SUMPRODUCT(B$2:B$1025, -SIN(2*PI()*216*(ROW(B$2:B$1025)-1)/1024))</f>
        <v>0.27474833447128016</v>
      </c>
      <c r="E218">
        <f t="shared" si="7"/>
        <v>0.421875</v>
      </c>
      <c r="F218">
        <f t="shared" si="6"/>
        <v>9.0347535619935502E-3</v>
      </c>
    </row>
    <row r="219" spans="1:6">
      <c r="A219">
        <v>108.5</v>
      </c>
      <c r="B219">
        <v>-0.4984202376431548</v>
      </c>
      <c r="C219">
        <f>SUMPRODUCT(B$2:B$1025, COS(2*PI()*217*(ROW(B$2:B$1025)-1)/1024))</f>
        <v>-2.4727377490135454</v>
      </c>
      <c r="D219">
        <f>SUMPRODUCT(B$2:B$1025, -SIN(2*PI()*217*(ROW(B$2:B$1025)-1)/1024))</f>
        <v>4.0830275468233932</v>
      </c>
      <c r="E219">
        <f t="shared" si="7"/>
        <v>0.423828125</v>
      </c>
      <c r="F219">
        <f t="shared" si="6"/>
        <v>9.3230874569643733E-3</v>
      </c>
    </row>
    <row r="220" spans="1:6">
      <c r="A220">
        <v>109</v>
      </c>
      <c r="B220">
        <v>-1.0481292258609549</v>
      </c>
      <c r="C220">
        <f>SUMPRODUCT(B$2:B$1025, COS(2*PI()*218*(ROW(B$2:B$1025)-1)/1024))</f>
        <v>1.3906847407517415</v>
      </c>
      <c r="D220">
        <f>SUMPRODUCT(B$2:B$1025, -SIN(2*PI()*218*(ROW(B$2:B$1025)-1)/1024))</f>
        <v>7.5014740884698234</v>
      </c>
      <c r="E220">
        <f t="shared" si="7"/>
        <v>0.42578125</v>
      </c>
      <c r="F220">
        <f t="shared" si="6"/>
        <v>1.4900963641776725E-2</v>
      </c>
    </row>
    <row r="221" spans="1:6">
      <c r="A221">
        <v>109.5</v>
      </c>
      <c r="B221">
        <v>-1.071410424415205</v>
      </c>
      <c r="C221">
        <f>SUMPRODUCT(B$2:B$1025, COS(2*PI()*219*(ROW(B$2:B$1025)-1)/1024))</f>
        <v>-1.2772757765215159</v>
      </c>
      <c r="D221">
        <f>SUMPRODUCT(B$2:B$1025, -SIN(2*PI()*219*(ROW(B$2:B$1025)-1)/1024))</f>
        <v>-4.3492577201964746</v>
      </c>
      <c r="E221">
        <f t="shared" si="7"/>
        <v>0.427734375</v>
      </c>
      <c r="F221">
        <f t="shared" si="6"/>
        <v>8.8533835900891852E-3</v>
      </c>
    </row>
    <row r="222" spans="1:6">
      <c r="A222">
        <v>110</v>
      </c>
      <c r="B222">
        <v>0.46293171333468608</v>
      </c>
      <c r="C222">
        <f>SUMPRODUCT(B$2:B$1025, COS(2*PI()*220*(ROW(B$2:B$1025)-1)/1024))</f>
        <v>4.5168461749149049</v>
      </c>
      <c r="D222">
        <f>SUMPRODUCT(B$2:B$1025, -SIN(2*PI()*220*(ROW(B$2:B$1025)-1)/1024))</f>
        <v>5.1922912493344313</v>
      </c>
      <c r="E222">
        <f t="shared" si="7"/>
        <v>0.4296875</v>
      </c>
      <c r="F222">
        <f t="shared" si="6"/>
        <v>1.3441386921052597E-2</v>
      </c>
    </row>
    <row r="223" spans="1:6">
      <c r="A223">
        <v>110.5</v>
      </c>
      <c r="B223">
        <v>0.71433221377411038</v>
      </c>
      <c r="C223">
        <f>SUMPRODUCT(B$2:B$1025, COS(2*PI()*221*(ROW(B$2:B$1025)-1)/1024))</f>
        <v>-5.4655046495080644</v>
      </c>
      <c r="D223">
        <f>SUMPRODUCT(B$2:B$1025, -SIN(2*PI()*221*(ROW(B$2:B$1025)-1)/1024))</f>
        <v>2.6239272966104505</v>
      </c>
      <c r="E223">
        <f t="shared" si="7"/>
        <v>0.431640625</v>
      </c>
      <c r="F223">
        <f t="shared" si="6"/>
        <v>1.1841276051424762E-2</v>
      </c>
    </row>
    <row r="224" spans="1:6">
      <c r="A224">
        <v>111</v>
      </c>
      <c r="B224">
        <v>1.0883085543700539</v>
      </c>
      <c r="C224">
        <f>SUMPRODUCT(B$2:B$1025, COS(2*PI()*222*(ROW(B$2:B$1025)-1)/1024))</f>
        <v>8.8001864356877029</v>
      </c>
      <c r="D224">
        <f>SUMPRODUCT(B$2:B$1025, -SIN(2*PI()*222*(ROW(B$2:B$1025)-1)/1024))</f>
        <v>2.9671344721875905</v>
      </c>
      <c r="E224">
        <f t="shared" si="7"/>
        <v>0.43359375</v>
      </c>
      <c r="F224">
        <f t="shared" si="6"/>
        <v>1.8138545614283439E-2</v>
      </c>
    </row>
    <row r="225" spans="1:6">
      <c r="A225">
        <v>111.5</v>
      </c>
      <c r="B225">
        <v>0.128513342057226</v>
      </c>
      <c r="C225">
        <f>SUMPRODUCT(B$2:B$1025, COS(2*PI()*223*(ROW(B$2:B$1025)-1)/1024))</f>
        <v>7.9531989617884733</v>
      </c>
      <c r="D225">
        <f>SUMPRODUCT(B$2:B$1025, -SIN(2*PI()*223*(ROW(B$2:B$1025)-1)/1024))</f>
        <v>1.1772531264959798</v>
      </c>
      <c r="E225">
        <f t="shared" si="7"/>
        <v>0.435546875</v>
      </c>
      <c r="F225">
        <f t="shared" si="6"/>
        <v>1.5702845468598712E-2</v>
      </c>
    </row>
    <row r="226" spans="1:6">
      <c r="A226">
        <v>112</v>
      </c>
      <c r="B226">
        <v>0.49339887913458402</v>
      </c>
      <c r="C226">
        <f>SUMPRODUCT(B$2:B$1025, COS(2*PI()*224*(ROW(B$2:B$1025)-1)/1024))</f>
        <v>-0.33851994296783205</v>
      </c>
      <c r="D226">
        <f>SUMPRODUCT(B$2:B$1025, -SIN(2*PI()*224*(ROW(B$2:B$1025)-1)/1024))</f>
        <v>4.6370014566976572</v>
      </c>
      <c r="E226">
        <f t="shared" si="7"/>
        <v>0.4375</v>
      </c>
      <c r="F226">
        <f t="shared" si="6"/>
        <v>9.0807455115605624E-3</v>
      </c>
    </row>
    <row r="227" spans="1:6">
      <c r="A227">
        <v>112.5</v>
      </c>
      <c r="B227">
        <v>0.71779011939347526</v>
      </c>
      <c r="C227">
        <f>SUMPRODUCT(B$2:B$1025, COS(2*PI()*225*(ROW(B$2:B$1025)-1)/1024))</f>
        <v>-0.83674035955172732</v>
      </c>
      <c r="D227">
        <f>SUMPRODUCT(B$2:B$1025, -SIN(2*PI()*225*(ROW(B$2:B$1025)-1)/1024))</f>
        <v>-0.67718931480554045</v>
      </c>
      <c r="E227">
        <f t="shared" si="7"/>
        <v>0.439453125</v>
      </c>
      <c r="F227">
        <f t="shared" si="6"/>
        <v>2.1024189027706811E-3</v>
      </c>
    </row>
    <row r="228" spans="1:6">
      <c r="A228">
        <v>113</v>
      </c>
      <c r="B228">
        <v>-0.57492924847336957</v>
      </c>
      <c r="C228">
        <f>SUMPRODUCT(B$2:B$1025, COS(2*PI()*226*(ROW(B$2:B$1025)-1)/1024))</f>
        <v>2.7787681831624989</v>
      </c>
      <c r="D228">
        <f>SUMPRODUCT(B$2:B$1025, -SIN(2*PI()*226*(ROW(B$2:B$1025)-1)/1024))</f>
        <v>12.606496437644946</v>
      </c>
      <c r="E228">
        <f t="shared" si="7"/>
        <v>0.44140625</v>
      </c>
      <c r="F228">
        <f t="shared" si="6"/>
        <v>2.5213119392416973E-2</v>
      </c>
    </row>
    <row r="229" spans="1:6">
      <c r="A229">
        <v>113.5</v>
      </c>
      <c r="B229">
        <v>-1.6666054718810159</v>
      </c>
      <c r="C229">
        <f>SUMPRODUCT(B$2:B$1025, COS(2*PI()*227*(ROW(B$2:B$1025)-1)/1024))</f>
        <v>0.60602034502908042</v>
      </c>
      <c r="D229">
        <f>SUMPRODUCT(B$2:B$1025, -SIN(2*PI()*227*(ROW(B$2:B$1025)-1)/1024))</f>
        <v>-8.7458656528698544</v>
      </c>
      <c r="E229">
        <f t="shared" si="7"/>
        <v>0.443359375</v>
      </c>
      <c r="F229">
        <f t="shared" si="6"/>
        <v>1.7122728035752485E-2</v>
      </c>
    </row>
    <row r="230" spans="1:6">
      <c r="A230">
        <v>114</v>
      </c>
      <c r="B230">
        <v>-1.0941172581471621</v>
      </c>
      <c r="C230">
        <f>SUMPRODUCT(B$2:B$1025, COS(2*PI()*228*(ROW(B$2:B$1025)-1)/1024))</f>
        <v>1.873211686425359</v>
      </c>
      <c r="D230">
        <f>SUMPRODUCT(B$2:B$1025, -SIN(2*PI()*228*(ROW(B$2:B$1025)-1)/1024))</f>
        <v>-5.4071890081941305</v>
      </c>
      <c r="E230">
        <f t="shared" si="7"/>
        <v>0.4453125</v>
      </c>
      <c r="F230">
        <f t="shared" si="6"/>
        <v>1.1176691042985352E-2</v>
      </c>
    </row>
    <row r="231" spans="1:6">
      <c r="A231">
        <v>114.5</v>
      </c>
      <c r="B231">
        <v>4.8134297494448891E-2</v>
      </c>
      <c r="C231">
        <f>SUMPRODUCT(B$2:B$1025, COS(2*PI()*229*(ROW(B$2:B$1025)-1)/1024))</f>
        <v>-1.5864079773217759</v>
      </c>
      <c r="D231">
        <f>SUMPRODUCT(B$2:B$1025, -SIN(2*PI()*229*(ROW(B$2:B$1025)-1)/1024))</f>
        <v>-1.3526415788171904</v>
      </c>
      <c r="E231">
        <f t="shared" si="7"/>
        <v>0.447265625</v>
      </c>
      <c r="F231">
        <f t="shared" si="6"/>
        <v>4.0718461785890885E-3</v>
      </c>
    </row>
    <row r="232" spans="1:6">
      <c r="A232">
        <v>115</v>
      </c>
      <c r="B232">
        <v>-0.1460733263434455</v>
      </c>
      <c r="C232">
        <f>SUMPRODUCT(B$2:B$1025, COS(2*PI()*230*(ROW(B$2:B$1025)-1)/1024))</f>
        <v>5.8550092516797196</v>
      </c>
      <c r="D232">
        <f>SUMPRODUCT(B$2:B$1025, -SIN(2*PI()*230*(ROW(B$2:B$1025)-1)/1024))</f>
        <v>6.3751214503654516</v>
      </c>
      <c r="E232">
        <f t="shared" si="7"/>
        <v>0.44921875</v>
      </c>
      <c r="F232">
        <f t="shared" si="6"/>
        <v>1.6905908249781151E-2</v>
      </c>
    </row>
    <row r="233" spans="1:6">
      <c r="A233">
        <v>115.5</v>
      </c>
      <c r="B233">
        <v>0.13107697020886069</v>
      </c>
      <c r="C233">
        <f>SUMPRODUCT(B$2:B$1025, COS(2*PI()*231*(ROW(B$2:B$1025)-1)/1024))</f>
        <v>1.5002524552163159</v>
      </c>
      <c r="D233">
        <f>SUMPRODUCT(B$2:B$1025, -SIN(2*PI()*231*(ROW(B$2:B$1025)-1)/1024))</f>
        <v>8.0007141963557338</v>
      </c>
      <c r="E233">
        <f t="shared" si="7"/>
        <v>0.451171875</v>
      </c>
      <c r="F233">
        <f t="shared" si="6"/>
        <v>1.5898747631288557E-2</v>
      </c>
    </row>
    <row r="234" spans="1:6">
      <c r="A234">
        <v>116</v>
      </c>
      <c r="B234">
        <v>0.96017088427591457</v>
      </c>
      <c r="C234">
        <f>SUMPRODUCT(B$2:B$1025, COS(2*PI()*232*(ROW(B$2:B$1025)-1)/1024))</f>
        <v>-5.006479136748391</v>
      </c>
      <c r="D234">
        <f>SUMPRODUCT(B$2:B$1025, -SIN(2*PI()*232*(ROW(B$2:B$1025)-1)/1024))</f>
        <v>-3.3265544236001516</v>
      </c>
      <c r="E234">
        <f t="shared" si="7"/>
        <v>0.453125</v>
      </c>
      <c r="F234">
        <f t="shared" si="6"/>
        <v>1.1740019383044165E-2</v>
      </c>
    </row>
    <row r="235" spans="1:6">
      <c r="A235">
        <v>116.5</v>
      </c>
      <c r="B235">
        <v>1.320736446773991</v>
      </c>
      <c r="C235">
        <f>SUMPRODUCT(B$2:B$1025, COS(2*PI()*233*(ROW(B$2:B$1025)-1)/1024))</f>
        <v>5.9337630447760183</v>
      </c>
      <c r="D235">
        <f>SUMPRODUCT(B$2:B$1025, -SIN(2*PI()*233*(ROW(B$2:B$1025)-1)/1024))</f>
        <v>-0.25175772819361958</v>
      </c>
      <c r="E235">
        <f t="shared" si="7"/>
        <v>0.455078125</v>
      </c>
      <c r="F235">
        <f t="shared" si="6"/>
        <v>1.1599807485307367E-2</v>
      </c>
    </row>
    <row r="236" spans="1:6">
      <c r="A236">
        <v>117</v>
      </c>
      <c r="B236">
        <v>1.016574070157543</v>
      </c>
      <c r="C236">
        <f>SUMPRODUCT(B$2:B$1025, COS(2*PI()*234*(ROW(B$2:B$1025)-1)/1024))</f>
        <v>0.98329767130227996</v>
      </c>
      <c r="D236">
        <f>SUMPRODUCT(B$2:B$1025, -SIN(2*PI()*234*(ROW(B$2:B$1025)-1)/1024))</f>
        <v>4.7579401105447623</v>
      </c>
      <c r="E236">
        <f t="shared" si="7"/>
        <v>0.45703125</v>
      </c>
      <c r="F236">
        <f t="shared" si="6"/>
        <v>9.4892268896627132E-3</v>
      </c>
    </row>
    <row r="237" spans="1:6">
      <c r="A237">
        <v>117.5</v>
      </c>
      <c r="B237">
        <v>-0.37321619553640251</v>
      </c>
      <c r="C237">
        <f>SUMPRODUCT(B$2:B$1025, COS(2*PI()*235*(ROW(B$2:B$1025)-1)/1024))</f>
        <v>8.697722073118582</v>
      </c>
      <c r="D237">
        <f>SUMPRODUCT(B$2:B$1025, -SIN(2*PI()*235*(ROW(B$2:B$1025)-1)/1024))</f>
        <v>0.9578718167946676</v>
      </c>
      <c r="E237">
        <f t="shared" si="7"/>
        <v>0.458984375</v>
      </c>
      <c r="F237">
        <f t="shared" si="6"/>
        <v>1.7090445042839814E-2</v>
      </c>
    </row>
    <row r="238" spans="1:6">
      <c r="A238">
        <v>118</v>
      </c>
      <c r="B238">
        <v>-0.99281376962398915</v>
      </c>
      <c r="C238">
        <f>SUMPRODUCT(B$2:B$1025, COS(2*PI()*236*(ROW(B$2:B$1025)-1)/1024))</f>
        <v>2.1834222727230803</v>
      </c>
      <c r="D238">
        <f>SUMPRODUCT(B$2:B$1025, -SIN(2*PI()*236*(ROW(B$2:B$1025)-1)/1024))</f>
        <v>4.1891848955947326</v>
      </c>
      <c r="E238">
        <f t="shared" si="7"/>
        <v>0.4609375</v>
      </c>
      <c r="F238">
        <f t="shared" si="6"/>
        <v>9.2266507520731445E-3</v>
      </c>
    </row>
    <row r="239" spans="1:6">
      <c r="A239">
        <v>118.5</v>
      </c>
      <c r="B239">
        <v>-0.41376565334126308</v>
      </c>
      <c r="C239">
        <f>SUMPRODUCT(B$2:B$1025, COS(2*PI()*237*(ROW(B$2:B$1025)-1)/1024))</f>
        <v>-0.84587466969588498</v>
      </c>
      <c r="D239">
        <f>SUMPRODUCT(B$2:B$1025, -SIN(2*PI()*237*(ROW(B$2:B$1025)-1)/1024))</f>
        <v>-0.28142535204686847</v>
      </c>
      <c r="E239">
        <f t="shared" si="7"/>
        <v>0.462890625</v>
      </c>
      <c r="F239">
        <f t="shared" si="6"/>
        <v>1.7411363771453739E-3</v>
      </c>
    </row>
    <row r="240" spans="1:6">
      <c r="A240">
        <v>119</v>
      </c>
      <c r="B240">
        <v>-1.083413809248819</v>
      </c>
      <c r="C240">
        <f>SUMPRODUCT(B$2:B$1025, COS(2*PI()*238*(ROW(B$2:B$1025)-1)/1024))</f>
        <v>6.732702818988118</v>
      </c>
      <c r="D240">
        <f>SUMPRODUCT(B$2:B$1025, -SIN(2*PI()*238*(ROW(B$2:B$1025)-1)/1024))</f>
        <v>3.0931767084792217</v>
      </c>
      <c r="E240">
        <f t="shared" si="7"/>
        <v>0.46484375</v>
      </c>
      <c r="F240">
        <f t="shared" si="6"/>
        <v>1.4471197183996693E-2</v>
      </c>
    </row>
    <row r="241" spans="1:6">
      <c r="A241">
        <v>119.5</v>
      </c>
      <c r="B241">
        <v>-0.91729858533323583</v>
      </c>
      <c r="C241">
        <f>SUMPRODUCT(B$2:B$1025, COS(2*PI()*239*(ROW(B$2:B$1025)-1)/1024))</f>
        <v>8.2714882222256847</v>
      </c>
      <c r="D241">
        <f>SUMPRODUCT(B$2:B$1025, -SIN(2*PI()*239*(ROW(B$2:B$1025)-1)/1024))</f>
        <v>7.8390300757437226</v>
      </c>
      <c r="E241">
        <f t="shared" si="7"/>
        <v>0.466796875</v>
      </c>
      <c r="F241">
        <f t="shared" si="6"/>
        <v>2.2257734856361719E-2</v>
      </c>
    </row>
    <row r="242" spans="1:6">
      <c r="A242">
        <v>120</v>
      </c>
      <c r="B242">
        <v>-0.15850414768656759</v>
      </c>
      <c r="C242">
        <f>SUMPRODUCT(B$2:B$1025, COS(2*PI()*240*(ROW(B$2:B$1025)-1)/1024))</f>
        <v>-0.64161497823688141</v>
      </c>
      <c r="D242">
        <f>SUMPRODUCT(B$2:B$1025, -SIN(2*PI()*240*(ROW(B$2:B$1025)-1)/1024))</f>
        <v>-2.0118390807639206</v>
      </c>
      <c r="E242">
        <f t="shared" si="7"/>
        <v>0.46875</v>
      </c>
      <c r="F242">
        <f t="shared" si="6"/>
        <v>4.1243629043047634E-3</v>
      </c>
    </row>
    <row r="243" spans="1:6">
      <c r="A243">
        <v>120.5</v>
      </c>
      <c r="B243">
        <v>1.064837963999091</v>
      </c>
      <c r="C243">
        <f>SUMPRODUCT(B$2:B$1025, COS(2*PI()*241*(ROW(B$2:B$1025)-1)/1024))</f>
        <v>0.12316199193254718</v>
      </c>
      <c r="D243">
        <f>SUMPRODUCT(B$2:B$1025, -SIN(2*PI()*241*(ROW(B$2:B$1025)-1)/1024))</f>
        <v>-2.2357822849888969</v>
      </c>
      <c r="E243">
        <f t="shared" si="7"/>
        <v>0.470703125</v>
      </c>
      <c r="F243">
        <f t="shared" si="6"/>
        <v>4.3733828371598921E-3</v>
      </c>
    </row>
    <row r="244" spans="1:6">
      <c r="A244">
        <v>121</v>
      </c>
      <c r="B244">
        <v>1.0520539720912441</v>
      </c>
      <c r="C244">
        <f>SUMPRODUCT(B$2:B$1025, COS(2*PI()*242*(ROW(B$2:B$1025)-1)/1024))</f>
        <v>-3.9366654670409402</v>
      </c>
      <c r="D244">
        <f>SUMPRODUCT(B$2:B$1025, -SIN(2*PI()*242*(ROW(B$2:B$1025)-1)/1024))</f>
        <v>-0.79062533791685596</v>
      </c>
      <c r="E244">
        <f t="shared" si="7"/>
        <v>0.47265625</v>
      </c>
      <c r="F244">
        <f t="shared" si="6"/>
        <v>7.8423315762668339E-3</v>
      </c>
    </row>
    <row r="245" spans="1:6">
      <c r="A245">
        <v>121.5</v>
      </c>
      <c r="B245">
        <v>0.62420755512917636</v>
      </c>
      <c r="C245">
        <f>SUMPRODUCT(B$2:B$1025, COS(2*PI()*243*(ROW(B$2:B$1025)-1)/1024))</f>
        <v>3.1914295609823653</v>
      </c>
      <c r="D245">
        <f>SUMPRODUCT(B$2:B$1025, -SIN(2*PI()*243*(ROW(B$2:B$1025)-1)/1024))</f>
        <v>4.3272668886628844</v>
      </c>
      <c r="E245">
        <f t="shared" si="7"/>
        <v>0.474609375</v>
      </c>
      <c r="F245">
        <f t="shared" si="6"/>
        <v>1.0501650247942373E-2</v>
      </c>
    </row>
    <row r="246" spans="1:6">
      <c r="A246">
        <v>122</v>
      </c>
      <c r="B246">
        <v>0.3477259708813073</v>
      </c>
      <c r="C246">
        <f>SUMPRODUCT(B$2:B$1025, COS(2*PI()*244*(ROW(B$2:B$1025)-1)/1024))</f>
        <v>3.1943796706306857</v>
      </c>
      <c r="D246">
        <f>SUMPRODUCT(B$2:B$1025, -SIN(2*PI()*244*(ROW(B$2:B$1025)-1)/1024))</f>
        <v>2.9231155049478907</v>
      </c>
      <c r="E246">
        <f t="shared" si="7"/>
        <v>0.4765625</v>
      </c>
      <c r="F246">
        <f t="shared" si="6"/>
        <v>8.4569784151887241E-3</v>
      </c>
    </row>
    <row r="247" spans="1:6">
      <c r="A247">
        <v>122.5</v>
      </c>
      <c r="B247">
        <v>0.433099752831827</v>
      </c>
      <c r="C247">
        <f>SUMPRODUCT(B$2:B$1025, COS(2*PI()*245*(ROW(B$2:B$1025)-1)/1024))</f>
        <v>-5.4711589710577293</v>
      </c>
      <c r="D247">
        <f>SUMPRODUCT(B$2:B$1025, -SIN(2*PI()*245*(ROW(B$2:B$1025)-1)/1024))</f>
        <v>4.2425556145959389</v>
      </c>
      <c r="E247">
        <f t="shared" si="7"/>
        <v>0.478515625</v>
      </c>
      <c r="F247">
        <f t="shared" si="6"/>
        <v>1.352217973359468E-2</v>
      </c>
    </row>
    <row r="248" spans="1:6">
      <c r="A248">
        <v>123</v>
      </c>
      <c r="B248">
        <v>-0.68277431452464443</v>
      </c>
      <c r="C248">
        <f>SUMPRODUCT(B$2:B$1025, COS(2*PI()*246*(ROW(B$2:B$1025)-1)/1024))</f>
        <v>1.1784467395475933</v>
      </c>
      <c r="D248">
        <f>SUMPRODUCT(B$2:B$1025, -SIN(2*PI()*246*(ROW(B$2:B$1025)-1)/1024))</f>
        <v>3.372774319803328</v>
      </c>
      <c r="E248">
        <f t="shared" si="7"/>
        <v>0.48046875</v>
      </c>
      <c r="F248">
        <f t="shared" si="6"/>
        <v>6.9779728861252633E-3</v>
      </c>
    </row>
    <row r="249" spans="1:6">
      <c r="A249">
        <v>123.5</v>
      </c>
      <c r="B249">
        <v>-1.5817223628098931</v>
      </c>
      <c r="C249">
        <f>SUMPRODUCT(B$2:B$1025, COS(2*PI()*247*(ROW(B$2:B$1025)-1)/1024))</f>
        <v>-0.76799452728958806</v>
      </c>
      <c r="D249">
        <f>SUMPRODUCT(B$2:B$1025, -SIN(2*PI()*247*(ROW(B$2:B$1025)-1)/1024))</f>
        <v>-1.0329856772820256</v>
      </c>
      <c r="E249">
        <f t="shared" si="7"/>
        <v>0.482421875</v>
      </c>
      <c r="F249">
        <f t="shared" si="6"/>
        <v>2.5140557959233076E-3</v>
      </c>
    </row>
    <row r="250" spans="1:6">
      <c r="A250">
        <v>124</v>
      </c>
      <c r="B250">
        <v>-0.5979656682389507</v>
      </c>
      <c r="C250">
        <f>SUMPRODUCT(B$2:B$1025, COS(2*PI()*248*(ROW(B$2:B$1025)-1)/1024))</f>
        <v>1.6896404928885833</v>
      </c>
      <c r="D250">
        <f>SUMPRODUCT(B$2:B$1025, -SIN(2*PI()*248*(ROW(B$2:B$1025)-1)/1024))</f>
        <v>-1.9405471201433135</v>
      </c>
      <c r="E250">
        <f t="shared" si="7"/>
        <v>0.484375</v>
      </c>
      <c r="F250">
        <f t="shared" si="6"/>
        <v>5.0254965620154506E-3</v>
      </c>
    </row>
    <row r="251" spans="1:6">
      <c r="A251">
        <v>124.5</v>
      </c>
      <c r="B251">
        <v>-6.7889101002840818E-3</v>
      </c>
      <c r="C251">
        <f>SUMPRODUCT(B$2:B$1025, COS(2*PI()*249*(ROW(B$2:B$1025)-1)/1024))</f>
        <v>1.9043972634574751</v>
      </c>
      <c r="D251">
        <f>SUMPRODUCT(B$2:B$1025, -SIN(2*PI()*249*(ROW(B$2:B$1025)-1)/1024))</f>
        <v>1.3487120543325701</v>
      </c>
      <c r="E251">
        <f t="shared" si="7"/>
        <v>0.486328125</v>
      </c>
      <c r="F251">
        <f t="shared" si="6"/>
        <v>4.5578393589744276E-3</v>
      </c>
    </row>
    <row r="252" spans="1:6">
      <c r="A252">
        <v>125</v>
      </c>
      <c r="B252">
        <v>-0.25217679086698802</v>
      </c>
      <c r="C252">
        <f>SUMPRODUCT(B$2:B$1025, COS(2*PI()*250*(ROW(B$2:B$1025)-1)/1024))</f>
        <v>1.028059678618465</v>
      </c>
      <c r="D252">
        <f>SUMPRODUCT(B$2:B$1025, -SIN(2*PI()*250*(ROW(B$2:B$1025)-1)/1024))</f>
        <v>8.9411408679562445</v>
      </c>
      <c r="E252">
        <f t="shared" si="7"/>
        <v>0.48828125</v>
      </c>
      <c r="F252">
        <f t="shared" si="6"/>
        <v>1.757822338551443E-2</v>
      </c>
    </row>
    <row r="253" spans="1:6">
      <c r="A253">
        <v>125.5</v>
      </c>
      <c r="B253">
        <v>0.27135764170343207</v>
      </c>
      <c r="C253">
        <f>SUMPRODUCT(B$2:B$1025, COS(2*PI()*251*(ROW(B$2:B$1025)-1)/1024))</f>
        <v>-1.7648415831812789</v>
      </c>
      <c r="D253">
        <f>SUMPRODUCT(B$2:B$1025, -SIN(2*PI()*251*(ROW(B$2:B$1025)-1)/1024))</f>
        <v>-1.3712754717724549</v>
      </c>
      <c r="E253">
        <f t="shared" si="7"/>
        <v>0.490234375</v>
      </c>
      <c r="F253">
        <f t="shared" si="6"/>
        <v>4.3651632549831483E-3</v>
      </c>
    </row>
    <row r="254" spans="1:6">
      <c r="A254">
        <v>126</v>
      </c>
      <c r="B254">
        <v>1.375487755697677</v>
      </c>
      <c r="C254">
        <f>SUMPRODUCT(B$2:B$1025, COS(2*PI()*252*(ROW(B$2:B$1025)-1)/1024))</f>
        <v>5.2806845243689438</v>
      </c>
      <c r="D254">
        <f>SUMPRODUCT(B$2:B$1025, -SIN(2*PI()*252*(ROW(B$2:B$1025)-1)/1024))</f>
        <v>0.61134065937554272</v>
      </c>
      <c r="E254">
        <f t="shared" si="7"/>
        <v>0.4921875</v>
      </c>
      <c r="F254">
        <f t="shared" si="6"/>
        <v>1.0382722567631031E-2</v>
      </c>
    </row>
    <row r="255" spans="1:6">
      <c r="A255">
        <v>126.5</v>
      </c>
      <c r="B255">
        <v>1.657549568405388</v>
      </c>
      <c r="C255">
        <f>SUMPRODUCT(B$2:B$1025, COS(2*PI()*253*(ROW(B$2:B$1025)-1)/1024))</f>
        <v>-1.9961168502063109</v>
      </c>
      <c r="D255">
        <f>SUMPRODUCT(B$2:B$1025, -SIN(2*PI()*253*(ROW(B$2:B$1025)-1)/1024))</f>
        <v>1.1383551834039216</v>
      </c>
      <c r="E255">
        <f t="shared" si="7"/>
        <v>0.494140625</v>
      </c>
      <c r="F255">
        <f t="shared" si="6"/>
        <v>4.4880819398179922E-3</v>
      </c>
    </row>
    <row r="256" spans="1:6">
      <c r="A256">
        <v>127</v>
      </c>
      <c r="B256">
        <v>0.28391125910168358</v>
      </c>
      <c r="C256">
        <f>SUMPRODUCT(B$2:B$1025, COS(2*PI()*254*(ROW(B$2:B$1025)-1)/1024))</f>
        <v>-1.7553397874826571E-2</v>
      </c>
      <c r="D256">
        <f>SUMPRODUCT(B$2:B$1025, -SIN(2*PI()*254*(ROW(B$2:B$1025)-1)/1024))</f>
        <v>-3.3216980307405835</v>
      </c>
      <c r="E256">
        <f t="shared" si="7"/>
        <v>0.49609375</v>
      </c>
      <c r="F256">
        <f t="shared" si="6"/>
        <v>6.4877820519091672E-3</v>
      </c>
    </row>
    <row r="257" spans="1:6">
      <c r="A257">
        <v>127.5</v>
      </c>
      <c r="B257">
        <v>-0.5968468145732404</v>
      </c>
      <c r="C257">
        <f>SUMPRODUCT(B$2:B$1025, COS(2*PI()*255*(ROW(B$2:B$1025)-1)/1024))</f>
        <v>5.1857098785687281</v>
      </c>
      <c r="D257">
        <f>SUMPRODUCT(B$2:B$1025, -SIN(2*PI()*255*(ROW(B$2:B$1025)-1)/1024))</f>
        <v>-5.033742709800916</v>
      </c>
      <c r="E257">
        <f t="shared" si="7"/>
        <v>0.498046875</v>
      </c>
      <c r="F257">
        <f t="shared" si="6"/>
        <v>1.4115318641695436E-2</v>
      </c>
    </row>
    <row r="258" spans="1:6">
      <c r="A258">
        <v>128</v>
      </c>
      <c r="B258">
        <v>-0.33440302245515141</v>
      </c>
      <c r="C258">
        <f>SUMPRODUCT(B$2:B$1025, COS(2*PI()*256*(ROW(B$2:B$1025)-1)/1024))</f>
        <v>-252.76048579314298</v>
      </c>
      <c r="D258">
        <f>SUMPRODUCT(B$2:B$1025, -SIN(2*PI()*256*(ROW(B$2:B$1025)-1)/1024))</f>
        <v>2.2346792391031145</v>
      </c>
      <c r="E258">
        <f t="shared" si="7"/>
        <v>0.5</v>
      </c>
      <c r="F258">
        <f t="shared" si="6"/>
        <v>0.49369211739224217</v>
      </c>
    </row>
    <row r="259" spans="1:6">
      <c r="A259">
        <v>128.5</v>
      </c>
      <c r="B259">
        <v>-0.59259040941890895</v>
      </c>
      <c r="C259">
        <f>SUMPRODUCT(B$2:B$1025, COS(2*PI()*257*(ROW(B$2:B$1025)-1)/1024))</f>
        <v>0.71696768264680455</v>
      </c>
      <c r="D259">
        <f>SUMPRODUCT(B$2:B$1025, -SIN(2*PI()*257*(ROW(B$2:B$1025)-1)/1024))</f>
        <v>-0.13454511656240414</v>
      </c>
      <c r="E259">
        <f t="shared" si="7"/>
        <v>0.501953125</v>
      </c>
      <c r="F259">
        <f t="shared" ref="F259:F322" si="8">SQRT(C259^2 + D259^2)/(1024/2)</f>
        <v>1.4247709476368404E-3</v>
      </c>
    </row>
    <row r="260" spans="1:6">
      <c r="A260">
        <v>129</v>
      </c>
      <c r="B260">
        <v>-0.86229263066589446</v>
      </c>
      <c r="C260">
        <f>SUMPRODUCT(B$2:B$1025, COS(2*PI()*258*(ROW(B$2:B$1025)-1)/1024))</f>
        <v>4.0991381814700283</v>
      </c>
      <c r="D260">
        <f>SUMPRODUCT(B$2:B$1025, -SIN(2*PI()*258*(ROW(B$2:B$1025)-1)/1024))</f>
        <v>-2.606880539412106</v>
      </c>
      <c r="E260">
        <f t="shared" ref="E260:E323" si="9">(ROW()-2)*(2/1024)</f>
        <v>0.50390625</v>
      </c>
      <c r="F260">
        <f t="shared" si="8"/>
        <v>9.4879990070880771E-3</v>
      </c>
    </row>
    <row r="261" spans="1:6">
      <c r="A261">
        <v>129.5</v>
      </c>
      <c r="B261">
        <v>-0.93285844160660225</v>
      </c>
      <c r="C261">
        <f>SUMPRODUCT(B$2:B$1025, COS(2*PI()*259*(ROW(B$2:B$1025)-1)/1024))</f>
        <v>3.1042562107170499</v>
      </c>
      <c r="D261">
        <f>SUMPRODUCT(B$2:B$1025, -SIN(2*PI()*259*(ROW(B$2:B$1025)-1)/1024))</f>
        <v>3.6104626171588698</v>
      </c>
      <c r="E261">
        <f t="shared" si="9"/>
        <v>0.505859375</v>
      </c>
      <c r="F261">
        <f t="shared" si="8"/>
        <v>9.2997974438660223E-3</v>
      </c>
    </row>
    <row r="262" spans="1:6">
      <c r="A262">
        <v>130</v>
      </c>
      <c r="B262">
        <v>-0.18538609431562739</v>
      </c>
      <c r="C262">
        <f>SUMPRODUCT(B$2:B$1025, COS(2*PI()*260*(ROW(B$2:B$1025)-1)/1024))</f>
        <v>10.421624894486479</v>
      </c>
      <c r="D262">
        <f>SUMPRODUCT(B$2:B$1025, -SIN(2*PI()*260*(ROW(B$2:B$1025)-1)/1024))</f>
        <v>-0.77351681309807818</v>
      </c>
      <c r="E262">
        <f t="shared" si="9"/>
        <v>0.5078125</v>
      </c>
      <c r="F262">
        <f t="shared" si="8"/>
        <v>2.0410725704294832E-2</v>
      </c>
    </row>
    <row r="263" spans="1:6">
      <c r="A263">
        <v>130.5</v>
      </c>
      <c r="B263">
        <v>1.0758801810800991</v>
      </c>
      <c r="C263">
        <f>SUMPRODUCT(B$2:B$1025, COS(2*PI()*261*(ROW(B$2:B$1025)-1)/1024))</f>
        <v>-0.2418489388929761</v>
      </c>
      <c r="D263">
        <f>SUMPRODUCT(B$2:B$1025, -SIN(2*PI()*261*(ROW(B$2:B$1025)-1)/1024))</f>
        <v>1.1004189563412659</v>
      </c>
      <c r="E263">
        <f t="shared" si="9"/>
        <v>0.509765625</v>
      </c>
      <c r="F263">
        <f t="shared" si="8"/>
        <v>2.2005511796082452E-3</v>
      </c>
    </row>
    <row r="264" spans="1:6">
      <c r="A264">
        <v>131</v>
      </c>
      <c r="B264">
        <v>0.30280304828133042</v>
      </c>
      <c r="C264">
        <f>SUMPRODUCT(B$2:B$1025, COS(2*PI()*262*(ROW(B$2:B$1025)-1)/1024))</f>
        <v>5.2734644599175127</v>
      </c>
      <c r="D264">
        <f>SUMPRODUCT(B$2:B$1025, -SIN(2*PI()*262*(ROW(B$2:B$1025)-1)/1024))</f>
        <v>0.14224818680841747</v>
      </c>
      <c r="E264">
        <f t="shared" si="9"/>
        <v>0.51171875</v>
      </c>
      <c r="F264">
        <f t="shared" si="8"/>
        <v>1.0303481711021372E-2</v>
      </c>
    </row>
    <row r="265" spans="1:6">
      <c r="A265">
        <v>131.5</v>
      </c>
      <c r="B265">
        <v>0.24617898802829871</v>
      </c>
      <c r="C265">
        <f>SUMPRODUCT(B$2:B$1025, COS(2*PI()*263*(ROW(B$2:B$1025)-1)/1024))</f>
        <v>0.24005897289467482</v>
      </c>
      <c r="D265">
        <f>SUMPRODUCT(B$2:B$1025, -SIN(2*PI()*263*(ROW(B$2:B$1025)-1)/1024))</f>
        <v>-6.8236207529422952</v>
      </c>
      <c r="E265">
        <f t="shared" si="9"/>
        <v>0.513671875</v>
      </c>
      <c r="F265">
        <f t="shared" si="8"/>
        <v>1.333562920853484E-2</v>
      </c>
    </row>
    <row r="266" spans="1:6">
      <c r="A266">
        <v>132</v>
      </c>
      <c r="B266">
        <v>0.53727162201384526</v>
      </c>
      <c r="C266">
        <f>SUMPRODUCT(B$2:B$1025, COS(2*PI()*264*(ROW(B$2:B$1025)-1)/1024))</f>
        <v>-3.0230725273431012</v>
      </c>
      <c r="D266">
        <f>SUMPRODUCT(B$2:B$1025, -SIN(2*PI()*264*(ROW(B$2:B$1025)-1)/1024))</f>
        <v>-0.8769008264757856</v>
      </c>
      <c r="E266">
        <f t="shared" si="9"/>
        <v>0.515625</v>
      </c>
      <c r="F266">
        <f t="shared" si="8"/>
        <v>6.1478227948536758E-3</v>
      </c>
    </row>
    <row r="267" spans="1:6">
      <c r="A267">
        <v>132.5</v>
      </c>
      <c r="B267">
        <v>0.25044336360703301</v>
      </c>
      <c r="C267">
        <f>SUMPRODUCT(B$2:B$1025, COS(2*PI()*265*(ROW(B$2:B$1025)-1)/1024))</f>
        <v>-4.7563103877884298</v>
      </c>
      <c r="D267">
        <f>SUMPRODUCT(B$2:B$1025, -SIN(2*PI()*265*(ROW(B$2:B$1025)-1)/1024))</f>
        <v>2.3718287041605901</v>
      </c>
      <c r="E267">
        <f t="shared" si="9"/>
        <v>0.517578125</v>
      </c>
      <c r="F267">
        <f t="shared" si="8"/>
        <v>1.0380645301999589E-2</v>
      </c>
    </row>
    <row r="268" spans="1:6">
      <c r="A268">
        <v>133</v>
      </c>
      <c r="B268">
        <v>-0.26130299150614023</v>
      </c>
      <c r="C268">
        <f>SUMPRODUCT(B$2:B$1025, COS(2*PI()*266*(ROW(B$2:B$1025)-1)/1024))</f>
        <v>0.64760143639118506</v>
      </c>
      <c r="D268">
        <f>SUMPRODUCT(B$2:B$1025, -SIN(2*PI()*266*(ROW(B$2:B$1025)-1)/1024))</f>
        <v>2.0355924841235002</v>
      </c>
      <c r="E268">
        <f t="shared" si="9"/>
        <v>0.51953125</v>
      </c>
      <c r="F268">
        <f t="shared" si="8"/>
        <v>4.1721165650506495E-3</v>
      </c>
    </row>
    <row r="269" spans="1:6">
      <c r="A269">
        <v>133.5</v>
      </c>
      <c r="B269">
        <v>-1.7370847918872809</v>
      </c>
      <c r="C269">
        <f>SUMPRODUCT(B$2:B$1025, COS(2*PI()*267*(ROW(B$2:B$1025)-1)/1024))</f>
        <v>7.2506918980357131</v>
      </c>
      <c r="D269">
        <f>SUMPRODUCT(B$2:B$1025, -SIN(2*PI()*267*(ROW(B$2:B$1025)-1)/1024))</f>
        <v>2.9929993149496612</v>
      </c>
      <c r="E269">
        <f t="shared" si="9"/>
        <v>0.521484375</v>
      </c>
      <c r="F269">
        <f t="shared" si="8"/>
        <v>1.5320591609518958E-2</v>
      </c>
    </row>
    <row r="270" spans="1:6">
      <c r="A270">
        <v>134</v>
      </c>
      <c r="B270">
        <v>-1.0390654136345689</v>
      </c>
      <c r="C270">
        <f>SUMPRODUCT(B$2:B$1025, COS(2*PI()*268*(ROW(B$2:B$1025)-1)/1024))</f>
        <v>1.5157310545466305</v>
      </c>
      <c r="D270">
        <f>SUMPRODUCT(B$2:B$1025, -SIN(2*PI()*268*(ROW(B$2:B$1025)-1)/1024))</f>
        <v>-0.92718291536518638</v>
      </c>
      <c r="E270">
        <f t="shared" si="9"/>
        <v>0.5234375</v>
      </c>
      <c r="F270">
        <f t="shared" si="8"/>
        <v>3.4703622666609596E-3</v>
      </c>
    </row>
    <row r="271" spans="1:6">
      <c r="A271">
        <v>134.5</v>
      </c>
      <c r="B271">
        <v>-6.1637136835268912E-2</v>
      </c>
      <c r="C271">
        <f>SUMPRODUCT(B$2:B$1025, COS(2*PI()*269*(ROW(B$2:B$1025)-1)/1024))</f>
        <v>-0.71410907124558443</v>
      </c>
      <c r="D271">
        <f>SUMPRODUCT(B$2:B$1025, -SIN(2*PI()*269*(ROW(B$2:B$1025)-1)/1024))</f>
        <v>5.7967735932633131</v>
      </c>
      <c r="E271">
        <f t="shared" si="9"/>
        <v>0.525390625</v>
      </c>
      <c r="F271">
        <f t="shared" si="8"/>
        <v>1.1407409752347717E-2</v>
      </c>
    </row>
    <row r="272" spans="1:6">
      <c r="A272">
        <v>135</v>
      </c>
      <c r="B272">
        <v>0.28825465781322662</v>
      </c>
      <c r="C272">
        <f>SUMPRODUCT(B$2:B$1025, COS(2*PI()*270*(ROW(B$2:B$1025)-1)/1024))</f>
        <v>5.2311269772006916</v>
      </c>
      <c r="D272">
        <f>SUMPRODUCT(B$2:B$1025, -SIN(2*PI()*270*(ROW(B$2:B$1025)-1)/1024))</f>
        <v>-1.6739627251594749</v>
      </c>
      <c r="E272">
        <f t="shared" si="9"/>
        <v>0.52734375</v>
      </c>
      <c r="F272">
        <f t="shared" si="8"/>
        <v>1.0727411829799256E-2</v>
      </c>
    </row>
    <row r="273" spans="1:6">
      <c r="A273">
        <v>135.5</v>
      </c>
      <c r="B273">
        <v>-0.19938717794342289</v>
      </c>
      <c r="C273">
        <f>SUMPRODUCT(B$2:B$1025, COS(2*PI()*271*(ROW(B$2:B$1025)-1)/1024))</f>
        <v>-7.9130856733981236</v>
      </c>
      <c r="D273">
        <f>SUMPRODUCT(B$2:B$1025, -SIN(2*PI()*271*(ROW(B$2:B$1025)-1)/1024))</f>
        <v>13.448352040833509</v>
      </c>
      <c r="E273">
        <f t="shared" si="9"/>
        <v>0.529296875</v>
      </c>
      <c r="F273">
        <f t="shared" si="8"/>
        <v>3.0475954269522661E-2</v>
      </c>
    </row>
    <row r="274" spans="1:6">
      <c r="A274">
        <v>136</v>
      </c>
      <c r="B274">
        <v>1.1836892667261489</v>
      </c>
      <c r="C274">
        <f>SUMPRODUCT(B$2:B$1025, COS(2*PI()*272*(ROW(B$2:B$1025)-1)/1024))</f>
        <v>1.7784810923516099</v>
      </c>
      <c r="D274">
        <f>SUMPRODUCT(B$2:B$1025, -SIN(2*PI()*272*(ROW(B$2:B$1025)-1)/1024))</f>
        <v>-2.695945183354727</v>
      </c>
      <c r="E274">
        <f t="shared" si="9"/>
        <v>0.53125</v>
      </c>
      <c r="F274">
        <f t="shared" si="8"/>
        <v>6.3080541769015312E-3</v>
      </c>
    </row>
    <row r="275" spans="1:6">
      <c r="A275">
        <v>136.5</v>
      </c>
      <c r="B275">
        <v>1.4531031284990721</v>
      </c>
      <c r="C275">
        <f>SUMPRODUCT(B$2:B$1025, COS(2*PI()*273*(ROW(B$2:B$1025)-1)/1024))</f>
        <v>-7.2047231635516185E-2</v>
      </c>
      <c r="D275">
        <f>SUMPRODUCT(B$2:B$1025, -SIN(2*PI()*273*(ROW(B$2:B$1025)-1)/1024))</f>
        <v>0.38549888645207908</v>
      </c>
      <c r="E275">
        <f t="shared" si="9"/>
        <v>0.533203125</v>
      </c>
      <c r="F275">
        <f t="shared" si="8"/>
        <v>7.6596421814587588E-4</v>
      </c>
    </row>
    <row r="276" spans="1:6">
      <c r="A276">
        <v>137</v>
      </c>
      <c r="B276">
        <v>0.39148352208288217</v>
      </c>
      <c r="C276">
        <f>SUMPRODUCT(B$2:B$1025, COS(2*PI()*274*(ROW(B$2:B$1025)-1)/1024))</f>
        <v>0.12097100731028376</v>
      </c>
      <c r="D276">
        <f>SUMPRODUCT(B$2:B$1025, -SIN(2*PI()*274*(ROW(B$2:B$1025)-1)/1024))</f>
        <v>0.50244811744924311</v>
      </c>
      <c r="E276">
        <f t="shared" si="9"/>
        <v>0.53515625</v>
      </c>
      <c r="F276">
        <f t="shared" si="8"/>
        <v>1.0093860643810568E-3</v>
      </c>
    </row>
    <row r="277" spans="1:6">
      <c r="A277">
        <v>137.5</v>
      </c>
      <c r="B277">
        <v>-0.40757930514734969</v>
      </c>
      <c r="C277">
        <f>SUMPRODUCT(B$2:B$1025, COS(2*PI()*275*(ROW(B$2:B$1025)-1)/1024))</f>
        <v>6.448872693792957</v>
      </c>
      <c r="D277">
        <f>SUMPRODUCT(B$2:B$1025, -SIN(2*PI()*275*(ROW(B$2:B$1025)-1)/1024))</f>
        <v>-0.33782574364259138</v>
      </c>
      <c r="E277">
        <f t="shared" si="9"/>
        <v>0.537109375</v>
      </c>
      <c r="F277">
        <f t="shared" si="8"/>
        <v>1.26127249469967E-2</v>
      </c>
    </row>
    <row r="278" spans="1:6">
      <c r="A278">
        <v>138</v>
      </c>
      <c r="B278">
        <v>-0.54797331317778997</v>
      </c>
      <c r="C278">
        <f>SUMPRODUCT(B$2:B$1025, COS(2*PI()*276*(ROW(B$2:B$1025)-1)/1024))</f>
        <v>-4.0111825428176662</v>
      </c>
      <c r="D278">
        <f>SUMPRODUCT(B$2:B$1025, -SIN(2*PI()*276*(ROW(B$2:B$1025)-1)/1024))</f>
        <v>3.6511936737160915</v>
      </c>
      <c r="E278">
        <f t="shared" si="9"/>
        <v>0.5390625</v>
      </c>
      <c r="F278">
        <f t="shared" si="8"/>
        <v>1.0593934478465976E-2</v>
      </c>
    </row>
    <row r="279" spans="1:6">
      <c r="A279">
        <v>138.5</v>
      </c>
      <c r="B279">
        <v>-0.57109989172690723</v>
      </c>
      <c r="C279">
        <f>SUMPRODUCT(B$2:B$1025, COS(2*PI()*277*(ROW(B$2:B$1025)-1)/1024))</f>
        <v>5.1155378468188797</v>
      </c>
      <c r="D279">
        <f>SUMPRODUCT(B$2:B$1025, -SIN(2*PI()*277*(ROW(B$2:B$1025)-1)/1024))</f>
        <v>2.5134886976181052</v>
      </c>
      <c r="E279">
        <f t="shared" si="9"/>
        <v>0.541015625</v>
      </c>
      <c r="F279">
        <f t="shared" si="8"/>
        <v>1.1132187635850947E-2</v>
      </c>
    </row>
    <row r="280" spans="1:6">
      <c r="A280">
        <v>139</v>
      </c>
      <c r="B280">
        <v>-0.93709609929714377</v>
      </c>
      <c r="C280">
        <f>SUMPRODUCT(B$2:B$1025, COS(2*PI()*278*(ROW(B$2:B$1025)-1)/1024))</f>
        <v>8.3579537252842613</v>
      </c>
      <c r="D280">
        <f>SUMPRODUCT(B$2:B$1025, -SIN(2*PI()*278*(ROW(B$2:B$1025)-1)/1024))</f>
        <v>3.9518813854263035</v>
      </c>
      <c r="E280">
        <f t="shared" si="9"/>
        <v>0.54296875</v>
      </c>
      <c r="F280">
        <f t="shared" si="8"/>
        <v>1.8056929203353299E-2</v>
      </c>
    </row>
    <row r="281" spans="1:6">
      <c r="A281">
        <v>139.5</v>
      </c>
      <c r="B281">
        <v>-1.164847971664833</v>
      </c>
      <c r="C281">
        <f>SUMPRODUCT(B$2:B$1025, COS(2*PI()*279*(ROW(B$2:B$1025)-1)/1024))</f>
        <v>6.9619459343362191</v>
      </c>
      <c r="D281">
        <f>SUMPRODUCT(B$2:B$1025, -SIN(2*PI()*279*(ROW(B$2:B$1025)-1)/1024))</f>
        <v>4.907635810009559</v>
      </c>
      <c r="E281">
        <f t="shared" si="9"/>
        <v>0.544921875</v>
      </c>
      <c r="F281">
        <f t="shared" si="8"/>
        <v>1.6636404205888081E-2</v>
      </c>
    </row>
    <row r="282" spans="1:6">
      <c r="A282">
        <v>140</v>
      </c>
      <c r="B282">
        <v>2.2703469050227069E-2</v>
      </c>
      <c r="C282">
        <f>SUMPRODUCT(B$2:B$1025, COS(2*PI()*280*(ROW(B$2:B$1025)-1)/1024))</f>
        <v>5.8369462578026834</v>
      </c>
      <c r="D282">
        <f>SUMPRODUCT(B$2:B$1025, -SIN(2*PI()*280*(ROW(B$2:B$1025)-1)/1024))</f>
        <v>2.0824105504767045</v>
      </c>
      <c r="E282">
        <f t="shared" si="9"/>
        <v>0.546875</v>
      </c>
      <c r="F282">
        <f t="shared" si="8"/>
        <v>1.2104077614801617E-2</v>
      </c>
    </row>
    <row r="283" spans="1:6">
      <c r="A283">
        <v>140.5</v>
      </c>
      <c r="B283">
        <v>1.22021138719668</v>
      </c>
      <c r="C283">
        <f>SUMPRODUCT(B$2:B$1025, COS(2*PI()*281*(ROW(B$2:B$1025)-1)/1024))</f>
        <v>2.7781496118153788</v>
      </c>
      <c r="D283">
        <f>SUMPRODUCT(B$2:B$1025, -SIN(2*PI()*281*(ROW(B$2:B$1025)-1)/1024))</f>
        <v>10.098380005064358</v>
      </c>
      <c r="E283">
        <f t="shared" si="9"/>
        <v>0.548828125</v>
      </c>
      <c r="F283">
        <f t="shared" si="8"/>
        <v>2.04561658067717E-2</v>
      </c>
    </row>
    <row r="284" spans="1:6">
      <c r="A284">
        <v>141</v>
      </c>
      <c r="B284">
        <v>1.268259879524245</v>
      </c>
      <c r="C284">
        <f>SUMPRODUCT(B$2:B$1025, COS(2*PI()*282*(ROW(B$2:B$1025)-1)/1024))</f>
        <v>-1.8264917525366027</v>
      </c>
      <c r="D284">
        <f>SUMPRODUCT(B$2:B$1025, -SIN(2*PI()*282*(ROW(B$2:B$1025)-1)/1024))</f>
        <v>4.6194242428125918</v>
      </c>
      <c r="E284">
        <f t="shared" si="9"/>
        <v>0.55078125</v>
      </c>
      <c r="F284">
        <f t="shared" si="8"/>
        <v>9.7019707589356442E-3</v>
      </c>
    </row>
    <row r="285" spans="1:6">
      <c r="A285">
        <v>141.5</v>
      </c>
      <c r="B285">
        <v>0.20349341652978259</v>
      </c>
      <c r="C285">
        <f>SUMPRODUCT(B$2:B$1025, COS(2*PI()*283*(ROW(B$2:B$1025)-1)/1024))</f>
        <v>1.7603094326670647</v>
      </c>
      <c r="D285">
        <f>SUMPRODUCT(B$2:B$1025, -SIN(2*PI()*283*(ROW(B$2:B$1025)-1)/1024))</f>
        <v>-3.0123733031602615</v>
      </c>
      <c r="E285">
        <f t="shared" si="9"/>
        <v>0.552734375</v>
      </c>
      <c r="F285">
        <f t="shared" si="8"/>
        <v>6.8144422695375238E-3</v>
      </c>
    </row>
    <row r="286" spans="1:6">
      <c r="A286">
        <v>142</v>
      </c>
      <c r="B286">
        <v>1.014391927223746</v>
      </c>
      <c r="C286">
        <f>SUMPRODUCT(B$2:B$1025, COS(2*PI()*284*(ROW(B$2:B$1025)-1)/1024))</f>
        <v>7.7218486449187793</v>
      </c>
      <c r="D286">
        <f>SUMPRODUCT(B$2:B$1025, -SIN(2*PI()*284*(ROW(B$2:B$1025)-1)/1024))</f>
        <v>0.55251572291538897</v>
      </c>
      <c r="E286">
        <f t="shared" si="9"/>
        <v>0.5546875</v>
      </c>
      <c r="F286">
        <f t="shared" si="8"/>
        <v>1.5120293522652817E-2</v>
      </c>
    </row>
    <row r="287" spans="1:6">
      <c r="A287">
        <v>142.5</v>
      </c>
      <c r="B287">
        <v>0.10958244009551719</v>
      </c>
      <c r="C287">
        <f>SUMPRODUCT(B$2:B$1025, COS(2*PI()*285*(ROW(B$2:B$1025)-1)/1024))</f>
        <v>-5.5157201152400503</v>
      </c>
      <c r="D287">
        <f>SUMPRODUCT(B$2:B$1025, -SIN(2*PI()*285*(ROW(B$2:B$1025)-1)/1024))</f>
        <v>-5.4445281346385119</v>
      </c>
      <c r="E287">
        <f t="shared" si="9"/>
        <v>0.556640625</v>
      </c>
      <c r="F287">
        <f t="shared" si="8"/>
        <v>1.513716670185635E-2</v>
      </c>
    </row>
    <row r="288" spans="1:6">
      <c r="A288">
        <v>143</v>
      </c>
      <c r="B288">
        <v>-0.61814227129957489</v>
      </c>
      <c r="C288">
        <f>SUMPRODUCT(B$2:B$1025, COS(2*PI()*286*(ROW(B$2:B$1025)-1)/1024))</f>
        <v>-1.990398517405696</v>
      </c>
      <c r="D288">
        <f>SUMPRODUCT(B$2:B$1025, -SIN(2*PI()*286*(ROW(B$2:B$1025)-1)/1024))</f>
        <v>0.85744299932373613</v>
      </c>
      <c r="E288">
        <f t="shared" si="9"/>
        <v>0.55859375</v>
      </c>
      <c r="F288">
        <f t="shared" si="8"/>
        <v>4.2328750961390113E-3</v>
      </c>
    </row>
    <row r="289" spans="1:6">
      <c r="A289">
        <v>143.5</v>
      </c>
      <c r="B289">
        <v>-1.333393074998235</v>
      </c>
      <c r="C289">
        <f>SUMPRODUCT(B$2:B$1025, COS(2*PI()*287*(ROW(B$2:B$1025)-1)/1024))</f>
        <v>8.972093789042443</v>
      </c>
      <c r="D289">
        <f>SUMPRODUCT(B$2:B$1025, -SIN(2*PI()*287*(ROW(B$2:B$1025)-1)/1024))</f>
        <v>5.4107768614648011</v>
      </c>
      <c r="E289">
        <f t="shared" si="9"/>
        <v>0.560546875</v>
      </c>
      <c r="F289">
        <f t="shared" si="8"/>
        <v>2.0463584488430067E-2</v>
      </c>
    </row>
    <row r="290" spans="1:6">
      <c r="A290">
        <v>144</v>
      </c>
      <c r="B290">
        <v>-0.894858142748158</v>
      </c>
      <c r="C290">
        <f>SUMPRODUCT(B$2:B$1025, COS(2*PI()*288*(ROW(B$2:B$1025)-1)/1024))</f>
        <v>0.86836912328925675</v>
      </c>
      <c r="D290">
        <f>SUMPRODUCT(B$2:B$1025, -SIN(2*PI()*288*(ROW(B$2:B$1025)-1)/1024))</f>
        <v>0.25650622359925235</v>
      </c>
      <c r="E290">
        <f t="shared" si="9"/>
        <v>0.5625</v>
      </c>
      <c r="F290">
        <f t="shared" si="8"/>
        <v>1.768479329378868E-3</v>
      </c>
    </row>
    <row r="291" spans="1:6">
      <c r="A291">
        <v>144.5</v>
      </c>
      <c r="B291">
        <v>-0.21232515625659479</v>
      </c>
      <c r="C291">
        <f>SUMPRODUCT(B$2:B$1025, COS(2*PI()*289*(ROW(B$2:B$1025)-1)/1024))</f>
        <v>-3.4006244307352573</v>
      </c>
      <c r="D291">
        <f>SUMPRODUCT(B$2:B$1025, -SIN(2*PI()*289*(ROW(B$2:B$1025)-1)/1024))</f>
        <v>-1.4279959362320145</v>
      </c>
      <c r="E291">
        <f t="shared" si="9"/>
        <v>0.564453125</v>
      </c>
      <c r="F291">
        <f t="shared" si="8"/>
        <v>7.2036744047633446E-3</v>
      </c>
    </row>
    <row r="292" spans="1:6">
      <c r="A292">
        <v>145</v>
      </c>
      <c r="B292">
        <v>-4.1624450071440833E-2</v>
      </c>
      <c r="C292">
        <f>SUMPRODUCT(B$2:B$1025, COS(2*PI()*290*(ROW(B$2:B$1025)-1)/1024))</f>
        <v>1.2691382259563955</v>
      </c>
      <c r="D292">
        <f>SUMPRODUCT(B$2:B$1025, -SIN(2*PI()*290*(ROW(B$2:B$1025)-1)/1024))</f>
        <v>1.887584280928059</v>
      </c>
      <c r="E292">
        <f t="shared" si="9"/>
        <v>0.56640625</v>
      </c>
      <c r="F292">
        <f t="shared" si="8"/>
        <v>4.4425270744320663E-3</v>
      </c>
    </row>
    <row r="293" spans="1:6">
      <c r="A293">
        <v>145.5</v>
      </c>
      <c r="B293">
        <v>-1.081493463929049E-2</v>
      </c>
      <c r="C293">
        <f>SUMPRODUCT(B$2:B$1025, COS(2*PI()*291*(ROW(B$2:B$1025)-1)/1024))</f>
        <v>1.1699792266505089</v>
      </c>
      <c r="D293">
        <f>SUMPRODUCT(B$2:B$1025, -SIN(2*PI()*291*(ROW(B$2:B$1025)-1)/1024))</f>
        <v>7.751584078039766</v>
      </c>
      <c r="E293">
        <f t="shared" si="9"/>
        <v>0.568359375</v>
      </c>
      <c r="F293">
        <f t="shared" si="8"/>
        <v>1.531129259102338E-2</v>
      </c>
    </row>
    <row r="294" spans="1:6">
      <c r="A294">
        <v>146</v>
      </c>
      <c r="B294">
        <v>0.83318356490629375</v>
      </c>
      <c r="C294">
        <f>SUMPRODUCT(B$2:B$1025, COS(2*PI()*292*(ROW(B$2:B$1025)-1)/1024))</f>
        <v>-1.0919090182450006</v>
      </c>
      <c r="D294">
        <f>SUMPRODUCT(B$2:B$1025, -SIN(2*PI()*292*(ROW(B$2:B$1025)-1)/1024))</f>
        <v>2.3268934157504986</v>
      </c>
      <c r="E294">
        <f t="shared" si="9"/>
        <v>0.5703125</v>
      </c>
      <c r="F294">
        <f t="shared" si="8"/>
        <v>5.020214520763738E-3</v>
      </c>
    </row>
    <row r="295" spans="1:6">
      <c r="A295">
        <v>146.5</v>
      </c>
      <c r="B295">
        <v>1.620976935699364</v>
      </c>
      <c r="C295">
        <f>SUMPRODUCT(B$2:B$1025, COS(2*PI()*293*(ROW(B$2:B$1025)-1)/1024))</f>
        <v>-5.9059151525409543</v>
      </c>
      <c r="D295">
        <f>SUMPRODUCT(B$2:B$1025, -SIN(2*PI()*293*(ROW(B$2:B$1025)-1)/1024))</f>
        <v>4.2239880829384591</v>
      </c>
      <c r="E295">
        <f t="shared" si="9"/>
        <v>0.572265625</v>
      </c>
      <c r="F295">
        <f t="shared" si="8"/>
        <v>1.4181612127505636E-2</v>
      </c>
    </row>
    <row r="296" spans="1:6">
      <c r="A296">
        <v>147</v>
      </c>
      <c r="B296">
        <v>0.65918834948549065</v>
      </c>
      <c r="C296">
        <f>SUMPRODUCT(B$2:B$1025, COS(2*PI()*294*(ROW(B$2:B$1025)-1)/1024))</f>
        <v>-0.47668063226611501</v>
      </c>
      <c r="D296">
        <f>SUMPRODUCT(B$2:B$1025, -SIN(2*PI()*294*(ROW(B$2:B$1025)-1)/1024))</f>
        <v>-4.5829082654467888</v>
      </c>
      <c r="E296">
        <f t="shared" si="9"/>
        <v>0.57421875</v>
      </c>
      <c r="F296">
        <f t="shared" si="8"/>
        <v>8.9992812388207978E-3</v>
      </c>
    </row>
    <row r="297" spans="1:6">
      <c r="A297">
        <v>147.5</v>
      </c>
      <c r="B297">
        <v>-0.63858191905212003</v>
      </c>
      <c r="C297">
        <f>SUMPRODUCT(B$2:B$1025, COS(2*PI()*295*(ROW(B$2:B$1025)-1)/1024))</f>
        <v>3.7348034320201031</v>
      </c>
      <c r="D297">
        <f>SUMPRODUCT(B$2:B$1025, -SIN(2*PI()*295*(ROW(B$2:B$1025)-1)/1024))</f>
        <v>1.2512797169196792</v>
      </c>
      <c r="E297">
        <f t="shared" si="9"/>
        <v>0.576171875</v>
      </c>
      <c r="F297">
        <f t="shared" si="8"/>
        <v>7.6930461461318751E-3</v>
      </c>
    </row>
    <row r="298" spans="1:6">
      <c r="A298">
        <v>148</v>
      </c>
      <c r="B298">
        <v>-0.40786527720581911</v>
      </c>
      <c r="C298">
        <f>SUMPRODUCT(B$2:B$1025, COS(2*PI()*296*(ROW(B$2:B$1025)-1)/1024))</f>
        <v>1.3748892112025151</v>
      </c>
      <c r="D298">
        <f>SUMPRODUCT(B$2:B$1025, -SIN(2*PI()*296*(ROW(B$2:B$1025)-1)/1024))</f>
        <v>-4.5990581840870393</v>
      </c>
      <c r="E298">
        <f t="shared" si="9"/>
        <v>0.578125</v>
      </c>
      <c r="F298">
        <f t="shared" si="8"/>
        <v>9.3753370145518086E-3</v>
      </c>
    </row>
    <row r="299" spans="1:6">
      <c r="A299">
        <v>148.5</v>
      </c>
      <c r="B299">
        <v>-0.38959661211983071</v>
      </c>
      <c r="C299">
        <f>SUMPRODUCT(B$2:B$1025, COS(2*PI()*297*(ROW(B$2:B$1025)-1)/1024))</f>
        <v>-3.1708733482080205</v>
      </c>
      <c r="D299">
        <f>SUMPRODUCT(B$2:B$1025, -SIN(2*PI()*297*(ROW(B$2:B$1025)-1)/1024))</f>
        <v>-1.2611355310456425</v>
      </c>
      <c r="E299">
        <f t="shared" si="9"/>
        <v>0.580078125</v>
      </c>
      <c r="F299">
        <f t="shared" si="8"/>
        <v>6.6649659073485601E-3</v>
      </c>
    </row>
    <row r="300" spans="1:6">
      <c r="A300">
        <v>149</v>
      </c>
      <c r="B300">
        <v>-0.7884840925273543</v>
      </c>
      <c r="C300">
        <f>SUMPRODUCT(B$2:B$1025, COS(2*PI()*298*(ROW(B$2:B$1025)-1)/1024))</f>
        <v>3.6024974165021111</v>
      </c>
      <c r="D300">
        <f>SUMPRODUCT(B$2:B$1025, -SIN(2*PI()*298*(ROW(B$2:B$1025)-1)/1024))</f>
        <v>-5.3094106591309167</v>
      </c>
      <c r="E300">
        <f t="shared" si="9"/>
        <v>0.58203125</v>
      </c>
      <c r="F300">
        <f t="shared" si="8"/>
        <v>1.2531672091818399E-2</v>
      </c>
    </row>
    <row r="301" spans="1:6">
      <c r="A301">
        <v>149.5</v>
      </c>
      <c r="B301">
        <v>-0.961859483907748</v>
      </c>
      <c r="C301">
        <f>SUMPRODUCT(B$2:B$1025, COS(2*PI()*299*(ROW(B$2:B$1025)-1)/1024))</f>
        <v>3.2662998835711177</v>
      </c>
      <c r="D301">
        <f>SUMPRODUCT(B$2:B$1025, -SIN(2*PI()*299*(ROW(B$2:B$1025)-1)/1024))</f>
        <v>-6.1551126483812618E-3</v>
      </c>
      <c r="E301">
        <f t="shared" si="9"/>
        <v>0.583984375</v>
      </c>
      <c r="F301">
        <f t="shared" si="8"/>
        <v>6.3795032871184383E-3</v>
      </c>
    </row>
    <row r="302" spans="1:6">
      <c r="A302">
        <v>150</v>
      </c>
      <c r="B302">
        <v>-0.16579900218444879</v>
      </c>
      <c r="C302">
        <f>SUMPRODUCT(B$2:B$1025, COS(2*PI()*300*(ROW(B$2:B$1025)-1)/1024))</f>
        <v>10.08869896676911</v>
      </c>
      <c r="D302">
        <f>SUMPRODUCT(B$2:B$1025, -SIN(2*PI()*300*(ROW(B$2:B$1025)-1)/1024))</f>
        <v>-5.1010329778408945</v>
      </c>
      <c r="E302">
        <f t="shared" si="9"/>
        <v>0.5859375</v>
      </c>
      <c r="F302">
        <f t="shared" si="8"/>
        <v>2.2080022777731217E-2</v>
      </c>
    </row>
    <row r="303" spans="1:6">
      <c r="A303">
        <v>150.5</v>
      </c>
      <c r="B303">
        <v>0.97574904425306452</v>
      </c>
      <c r="C303">
        <f>SUMPRODUCT(B$2:B$1025, COS(2*PI()*301*(ROW(B$2:B$1025)-1)/1024))</f>
        <v>-0.76350365070375781</v>
      </c>
      <c r="D303">
        <f>SUMPRODUCT(B$2:B$1025, -SIN(2*PI()*301*(ROW(B$2:B$1025)-1)/1024))</f>
        <v>-0.36906302416958248</v>
      </c>
      <c r="E303">
        <f t="shared" si="9"/>
        <v>0.587890625</v>
      </c>
      <c r="F303">
        <f t="shared" si="8"/>
        <v>1.6562976072526203E-3</v>
      </c>
    </row>
    <row r="304" spans="1:6">
      <c r="A304">
        <v>151</v>
      </c>
      <c r="B304">
        <v>1.100515237319819</v>
      </c>
      <c r="C304">
        <f>SUMPRODUCT(B$2:B$1025, COS(2*PI()*302*(ROW(B$2:B$1025)-1)/1024))</f>
        <v>2.8194419646723134</v>
      </c>
      <c r="D304">
        <f>SUMPRODUCT(B$2:B$1025, -SIN(2*PI()*302*(ROW(B$2:B$1025)-1)/1024))</f>
        <v>1.6114684887536272</v>
      </c>
      <c r="E304">
        <f t="shared" si="9"/>
        <v>0.58984375</v>
      </c>
      <c r="F304">
        <f t="shared" si="8"/>
        <v>6.3427215441250609E-3</v>
      </c>
    </row>
    <row r="305" spans="1:6">
      <c r="A305">
        <v>151.5</v>
      </c>
      <c r="B305">
        <v>0.57313056938185003</v>
      </c>
      <c r="C305">
        <f>SUMPRODUCT(B$2:B$1025, COS(2*PI()*303*(ROW(B$2:B$1025)-1)/1024))</f>
        <v>1.0949493888097241</v>
      </c>
      <c r="D305">
        <f>SUMPRODUCT(B$2:B$1025, -SIN(2*PI()*303*(ROW(B$2:B$1025)-1)/1024))</f>
        <v>1.5001592806421948</v>
      </c>
      <c r="E305">
        <f t="shared" si="9"/>
        <v>0.591796875</v>
      </c>
      <c r="F305">
        <f t="shared" si="8"/>
        <v>3.6274490141235587E-3</v>
      </c>
    </row>
    <row r="306" spans="1:6">
      <c r="A306">
        <v>152</v>
      </c>
      <c r="B306">
        <v>0.58360493349962594</v>
      </c>
      <c r="C306">
        <f>SUMPRODUCT(B$2:B$1025, COS(2*PI()*304*(ROW(B$2:B$1025)-1)/1024))</f>
        <v>-1.4974922464840339</v>
      </c>
      <c r="D306">
        <f>SUMPRODUCT(B$2:B$1025, -SIN(2*PI()*304*(ROW(B$2:B$1025)-1)/1024))</f>
        <v>-4.4211979904923027</v>
      </c>
      <c r="E306">
        <f t="shared" si="9"/>
        <v>0.59375</v>
      </c>
      <c r="F306">
        <f t="shared" si="8"/>
        <v>9.1170307422568115E-3</v>
      </c>
    </row>
    <row r="307" spans="1:6">
      <c r="A307">
        <v>152.5</v>
      </c>
      <c r="B307">
        <v>0.52346547666176024</v>
      </c>
      <c r="C307">
        <f>SUMPRODUCT(B$2:B$1025, COS(2*PI()*305*(ROW(B$2:B$1025)-1)/1024))</f>
        <v>-8.5173830956941678</v>
      </c>
      <c r="D307">
        <f>SUMPRODUCT(B$2:B$1025, -SIN(2*PI()*305*(ROW(B$2:B$1025)-1)/1024))</f>
        <v>-3.6268946092521328</v>
      </c>
      <c r="E307">
        <f t="shared" si="9"/>
        <v>0.595703125</v>
      </c>
      <c r="F307">
        <f t="shared" si="8"/>
        <v>1.8080935807087813E-2</v>
      </c>
    </row>
    <row r="308" spans="1:6">
      <c r="A308">
        <v>153</v>
      </c>
      <c r="B308">
        <v>-0.33225227313478739</v>
      </c>
      <c r="C308">
        <f>SUMPRODUCT(B$2:B$1025, COS(2*PI()*306*(ROW(B$2:B$1025)-1)/1024))</f>
        <v>1.9959876441242246</v>
      </c>
      <c r="D308">
        <f>SUMPRODUCT(B$2:B$1025, -SIN(2*PI()*306*(ROW(B$2:B$1025)-1)/1024))</f>
        <v>3.4422768070365461</v>
      </c>
      <c r="E308">
        <f t="shared" si="9"/>
        <v>0.59765625</v>
      </c>
      <c r="F308">
        <f t="shared" si="8"/>
        <v>7.7716795603115845E-3</v>
      </c>
    </row>
    <row r="309" spans="1:6">
      <c r="A309">
        <v>153.5</v>
      </c>
      <c r="B309">
        <v>-1.5693707940623201</v>
      </c>
      <c r="C309">
        <f>SUMPRODUCT(B$2:B$1025, COS(2*PI()*307*(ROW(B$2:B$1025)-1)/1024))</f>
        <v>1.7134935377666269</v>
      </c>
      <c r="D309">
        <f>SUMPRODUCT(B$2:B$1025, -SIN(2*PI()*307*(ROW(B$2:B$1025)-1)/1024))</f>
        <v>-2.2844851246840667</v>
      </c>
      <c r="E309">
        <f t="shared" si="9"/>
        <v>0.599609375</v>
      </c>
      <c r="F309">
        <f t="shared" si="8"/>
        <v>5.5775082505705054E-3</v>
      </c>
    </row>
    <row r="310" spans="1:6">
      <c r="A310">
        <v>154</v>
      </c>
      <c r="B310">
        <v>-0.84163704006114981</v>
      </c>
      <c r="C310">
        <f>SUMPRODUCT(B$2:B$1025, COS(2*PI()*308*(ROW(B$2:B$1025)-1)/1024))</f>
        <v>5.048612971529856</v>
      </c>
      <c r="D310">
        <f>SUMPRODUCT(B$2:B$1025, -SIN(2*PI()*308*(ROW(B$2:B$1025)-1)/1024))</f>
        <v>5.3691155488102744</v>
      </c>
      <c r="E310">
        <f t="shared" si="9"/>
        <v>0.6015625</v>
      </c>
      <c r="F310">
        <f t="shared" si="8"/>
        <v>1.439439804371135E-2</v>
      </c>
    </row>
    <row r="311" spans="1:6">
      <c r="A311">
        <v>154.5</v>
      </c>
      <c r="B311">
        <v>-0.1282237827792668</v>
      </c>
      <c r="C311">
        <f>SUMPRODUCT(B$2:B$1025, COS(2*PI()*309*(ROW(B$2:B$1025)-1)/1024))</f>
        <v>1.419803437854644</v>
      </c>
      <c r="D311">
        <f>SUMPRODUCT(B$2:B$1025, -SIN(2*PI()*309*(ROW(B$2:B$1025)-1)/1024))</f>
        <v>-5.6823356912899161</v>
      </c>
      <c r="E311">
        <f t="shared" si="9"/>
        <v>0.603515625</v>
      </c>
      <c r="F311">
        <f t="shared" si="8"/>
        <v>1.1439508432392803E-2</v>
      </c>
    </row>
    <row r="312" spans="1:6">
      <c r="A312">
        <v>155</v>
      </c>
      <c r="B312">
        <v>-4.3536240645447491E-2</v>
      </c>
      <c r="C312">
        <f>SUMPRODUCT(B$2:B$1025, COS(2*PI()*310*(ROW(B$2:B$1025)-1)/1024))</f>
        <v>-5.6550383265329129E-3</v>
      </c>
      <c r="D312">
        <f>SUMPRODUCT(B$2:B$1025, -SIN(2*PI()*310*(ROW(B$2:B$1025)-1)/1024))</f>
        <v>-0.32426062603544337</v>
      </c>
      <c r="E312">
        <f t="shared" si="9"/>
        <v>0.60546875</v>
      </c>
      <c r="F312">
        <f t="shared" si="8"/>
        <v>6.334178391339733E-4</v>
      </c>
    </row>
    <row r="313" spans="1:6">
      <c r="A313">
        <v>155.5</v>
      </c>
      <c r="B313">
        <v>0.30754062268990218</v>
      </c>
      <c r="C313">
        <f>SUMPRODUCT(B$2:B$1025, COS(2*PI()*311*(ROW(B$2:B$1025)-1)/1024))</f>
        <v>10.229923179916117</v>
      </c>
      <c r="D313">
        <f>SUMPRODUCT(B$2:B$1025, -SIN(2*PI()*311*(ROW(B$2:B$1025)-1)/1024))</f>
        <v>3.2316511216737265</v>
      </c>
      <c r="E313">
        <f t="shared" si="9"/>
        <v>0.607421875</v>
      </c>
      <c r="F313">
        <f t="shared" si="8"/>
        <v>2.0953572244029585E-2</v>
      </c>
    </row>
    <row r="314" spans="1:6">
      <c r="A314">
        <v>156</v>
      </c>
      <c r="B314">
        <v>1.11613978609274</v>
      </c>
      <c r="C314">
        <f>SUMPRODUCT(B$2:B$1025, COS(2*PI()*312*(ROW(B$2:B$1025)-1)/1024))</f>
        <v>1.0195230670966122</v>
      </c>
      <c r="D314">
        <f>SUMPRODUCT(B$2:B$1025, -SIN(2*PI()*312*(ROW(B$2:B$1025)-1)/1024))</f>
        <v>-1.6731024038550704</v>
      </c>
      <c r="E314">
        <f t="shared" si="9"/>
        <v>0.609375</v>
      </c>
      <c r="F314">
        <f t="shared" si="8"/>
        <v>3.8266792840311718E-3</v>
      </c>
    </row>
    <row r="315" spans="1:6">
      <c r="A315">
        <v>156.5</v>
      </c>
      <c r="B315">
        <v>1.613758443495283</v>
      </c>
      <c r="C315">
        <f>SUMPRODUCT(B$2:B$1025, COS(2*PI()*313*(ROW(B$2:B$1025)-1)/1024))</f>
        <v>-8.8015711312999567E-2</v>
      </c>
      <c r="D315">
        <f>SUMPRODUCT(B$2:B$1025, -SIN(2*PI()*313*(ROW(B$2:B$1025)-1)/1024))</f>
        <v>2.2673200582908835</v>
      </c>
      <c r="E315">
        <f t="shared" si="9"/>
        <v>0.611328125</v>
      </c>
      <c r="F315">
        <f t="shared" si="8"/>
        <v>4.4316948594658317E-3</v>
      </c>
    </row>
    <row r="316" spans="1:6">
      <c r="A316">
        <v>157</v>
      </c>
      <c r="B316">
        <v>0.84888101372336155</v>
      </c>
      <c r="C316">
        <f>SUMPRODUCT(B$2:B$1025, COS(2*PI()*314*(ROW(B$2:B$1025)-1)/1024))</f>
        <v>4.469930179919535</v>
      </c>
      <c r="D316">
        <f>SUMPRODUCT(B$2:B$1025, -SIN(2*PI()*314*(ROW(B$2:B$1025)-1)/1024))</f>
        <v>4.7308780827263393</v>
      </c>
      <c r="E316">
        <f t="shared" si="9"/>
        <v>0.61328125</v>
      </c>
      <c r="F316">
        <f t="shared" si="8"/>
        <v>1.2712050751552966E-2</v>
      </c>
    </row>
    <row r="317" spans="1:6">
      <c r="A317">
        <v>157.5</v>
      </c>
      <c r="B317">
        <v>-0.49579923167345108</v>
      </c>
      <c r="C317">
        <f>SUMPRODUCT(B$2:B$1025, COS(2*PI()*315*(ROW(B$2:B$1025)-1)/1024))</f>
        <v>-3.8000036658689642</v>
      </c>
      <c r="D317">
        <f>SUMPRODUCT(B$2:B$1025, -SIN(2*PI()*315*(ROW(B$2:B$1025)-1)/1024))</f>
        <v>8.9631274451872684</v>
      </c>
      <c r="E317">
        <f t="shared" si="9"/>
        <v>0.615234375</v>
      </c>
      <c r="F317">
        <f t="shared" si="8"/>
        <v>1.9014419851918141E-2</v>
      </c>
    </row>
    <row r="318" spans="1:6">
      <c r="A318">
        <v>158</v>
      </c>
      <c r="B318">
        <v>-0.45139465803346163</v>
      </c>
      <c r="C318">
        <f>SUMPRODUCT(B$2:B$1025, COS(2*PI()*316*(ROW(B$2:B$1025)-1)/1024))</f>
        <v>5.5733348075704576</v>
      </c>
      <c r="D318">
        <f>SUMPRODUCT(B$2:B$1025, -SIN(2*PI()*316*(ROW(B$2:B$1025)-1)/1024))</f>
        <v>8.7160893152538534</v>
      </c>
      <c r="E318">
        <f t="shared" si="9"/>
        <v>0.6171875</v>
      </c>
      <c r="F318">
        <f t="shared" si="8"/>
        <v>2.0206328768685132E-2</v>
      </c>
    </row>
    <row r="319" spans="1:6">
      <c r="A319">
        <v>158.5</v>
      </c>
      <c r="B319">
        <v>-0.51310986761383903</v>
      </c>
      <c r="C319">
        <f>SUMPRODUCT(B$2:B$1025, COS(2*PI()*317*(ROW(B$2:B$1025)-1)/1024))</f>
        <v>1.5617049095754851</v>
      </c>
      <c r="D319">
        <f>SUMPRODUCT(B$2:B$1025, -SIN(2*PI()*317*(ROW(B$2:B$1025)-1)/1024))</f>
        <v>3.0812872752650242</v>
      </c>
      <c r="E319">
        <f t="shared" si="9"/>
        <v>0.619140625</v>
      </c>
      <c r="F319">
        <f t="shared" si="8"/>
        <v>6.7469807681783981E-3</v>
      </c>
    </row>
    <row r="320" spans="1:6">
      <c r="A320">
        <v>159</v>
      </c>
      <c r="B320">
        <v>-0.88622324579746536</v>
      </c>
      <c r="C320">
        <f>SUMPRODUCT(B$2:B$1025, COS(2*PI()*318*(ROW(B$2:B$1025)-1)/1024))</f>
        <v>-3.8486689530497817</v>
      </c>
      <c r="D320">
        <f>SUMPRODUCT(B$2:B$1025, -SIN(2*PI()*318*(ROW(B$2:B$1025)-1)/1024))</f>
        <v>-7.0061320162095884</v>
      </c>
      <c r="E320">
        <f t="shared" si="9"/>
        <v>0.62109375</v>
      </c>
      <c r="F320">
        <f t="shared" si="8"/>
        <v>1.5612560788102853E-2</v>
      </c>
    </row>
    <row r="321" spans="1:6">
      <c r="A321">
        <v>159.5</v>
      </c>
      <c r="B321">
        <v>-1.113813863166019</v>
      </c>
      <c r="C321">
        <f>SUMPRODUCT(B$2:B$1025, COS(2*PI()*319*(ROW(B$2:B$1025)-1)/1024))</f>
        <v>3.4544482407980697</v>
      </c>
      <c r="D321">
        <f>SUMPRODUCT(B$2:B$1025, -SIN(2*PI()*319*(ROW(B$2:B$1025)-1)/1024))</f>
        <v>-3.4102816864354266</v>
      </c>
      <c r="E321">
        <f t="shared" si="9"/>
        <v>0.623046875</v>
      </c>
      <c r="F321">
        <f t="shared" si="8"/>
        <v>9.4808545847667441E-3</v>
      </c>
    </row>
    <row r="322" spans="1:6">
      <c r="A322">
        <v>160</v>
      </c>
      <c r="B322">
        <v>1.9399192998526001E-2</v>
      </c>
      <c r="C322">
        <f>SUMPRODUCT(B$2:B$1025, COS(2*PI()*320*(ROW(B$2:B$1025)-1)/1024))</f>
        <v>-3.3839706866617596</v>
      </c>
      <c r="D322">
        <f>SUMPRODUCT(B$2:B$1025, -SIN(2*PI()*320*(ROW(B$2:B$1025)-1)/1024))</f>
        <v>-1.5089810218198139</v>
      </c>
      <c r="E322">
        <f t="shared" si="9"/>
        <v>0.625</v>
      </c>
      <c r="F322">
        <f t="shared" si="8"/>
        <v>7.2366592610424206E-3</v>
      </c>
    </row>
    <row r="323" spans="1:6">
      <c r="A323">
        <v>160.5</v>
      </c>
      <c r="B323">
        <v>1.206816657379852</v>
      </c>
      <c r="C323">
        <f>SUMPRODUCT(B$2:B$1025, COS(2*PI()*321*(ROW(B$2:B$1025)-1)/1024))</f>
        <v>-1.373600318939213</v>
      </c>
      <c r="D323">
        <f>SUMPRODUCT(B$2:B$1025, -SIN(2*PI()*321*(ROW(B$2:B$1025)-1)/1024))</f>
        <v>-5.913567390362612</v>
      </c>
      <c r="E323">
        <f t="shared" si="9"/>
        <v>0.626953125</v>
      </c>
      <c r="F323">
        <f t="shared" ref="F323:F386" si="10">SQRT(C323^2 + D323^2)/(1024/2)</f>
        <v>1.1857424467458676E-2</v>
      </c>
    </row>
    <row r="324" spans="1:6">
      <c r="A324">
        <v>161</v>
      </c>
      <c r="B324">
        <v>0.78741237964847399</v>
      </c>
      <c r="C324">
        <f>SUMPRODUCT(B$2:B$1025, COS(2*PI()*322*(ROW(B$2:B$1025)-1)/1024))</f>
        <v>1.199208671501915</v>
      </c>
      <c r="D324">
        <f>SUMPRODUCT(B$2:B$1025, -SIN(2*PI()*322*(ROW(B$2:B$1025)-1)/1024))</f>
        <v>8.8483321589802699</v>
      </c>
      <c r="E324">
        <f t="shared" ref="E324:E387" si="11">(ROW()-2)*(2/1024)</f>
        <v>0.62890625</v>
      </c>
      <c r="F324">
        <f t="shared" si="10"/>
        <v>1.743989523933271E-2</v>
      </c>
    </row>
    <row r="325" spans="1:6">
      <c r="A325">
        <v>161.5</v>
      </c>
      <c r="B325">
        <v>0.86953397143224487</v>
      </c>
      <c r="C325">
        <f>SUMPRODUCT(B$2:B$1025, COS(2*PI()*323*(ROW(B$2:B$1025)-1)/1024))</f>
        <v>-5.5488865436868586</v>
      </c>
      <c r="D325">
        <f>SUMPRODUCT(B$2:B$1025, -SIN(2*PI()*323*(ROW(B$2:B$1025)-1)/1024))</f>
        <v>-4.3051588453257379</v>
      </c>
      <c r="E325">
        <f t="shared" si="11"/>
        <v>0.630859375</v>
      </c>
      <c r="F325">
        <f t="shared" si="10"/>
        <v>1.3717075749130146E-2</v>
      </c>
    </row>
    <row r="326" spans="1:6">
      <c r="A326">
        <v>162</v>
      </c>
      <c r="B326">
        <v>0.38658177599250709</v>
      </c>
      <c r="C326">
        <f>SUMPRODUCT(B$2:B$1025, COS(2*PI()*324*(ROW(B$2:B$1025)-1)/1024))</f>
        <v>5.3264616829817175</v>
      </c>
      <c r="D326">
        <f>SUMPRODUCT(B$2:B$1025, -SIN(2*PI()*324*(ROW(B$2:B$1025)-1)/1024))</f>
        <v>-0.18586644013205419</v>
      </c>
      <c r="E326">
        <f t="shared" si="11"/>
        <v>0.6328125</v>
      </c>
      <c r="F326">
        <f t="shared" si="10"/>
        <v>1.0409577330921476E-2</v>
      </c>
    </row>
    <row r="327" spans="1:6">
      <c r="A327">
        <v>162.5</v>
      </c>
      <c r="B327">
        <v>0.25716227744247211</v>
      </c>
      <c r="C327">
        <f>SUMPRODUCT(B$2:B$1025, COS(2*PI()*325*(ROW(B$2:B$1025)-1)/1024))</f>
        <v>4.8564138968265063</v>
      </c>
      <c r="D327">
        <f>SUMPRODUCT(B$2:B$1025, -SIN(2*PI()*325*(ROW(B$2:B$1025)-1)/1024))</f>
        <v>-0.93393739756183702</v>
      </c>
      <c r="E327">
        <f t="shared" si="11"/>
        <v>0.634765625</v>
      </c>
      <c r="F327">
        <f t="shared" si="10"/>
        <v>9.6589871079398419E-3</v>
      </c>
    </row>
    <row r="328" spans="1:6">
      <c r="A328">
        <v>163</v>
      </c>
      <c r="B328">
        <v>-0.35616307759242138</v>
      </c>
      <c r="C328">
        <f>SUMPRODUCT(B$2:B$1025, COS(2*PI()*326*(ROW(B$2:B$1025)-1)/1024))</f>
        <v>7.9495574919643364</v>
      </c>
      <c r="D328">
        <f>SUMPRODUCT(B$2:B$1025, -SIN(2*PI()*326*(ROW(B$2:B$1025)-1)/1024))</f>
        <v>-2.0845368198127208</v>
      </c>
      <c r="E328">
        <f t="shared" si="11"/>
        <v>0.63671875</v>
      </c>
      <c r="F328">
        <f t="shared" si="10"/>
        <v>1.6051403213814392E-2</v>
      </c>
    </row>
    <row r="329" spans="1:6">
      <c r="A329">
        <v>163.5</v>
      </c>
      <c r="B329">
        <v>-1.292723977502563</v>
      </c>
      <c r="C329">
        <f>SUMPRODUCT(B$2:B$1025, COS(2*PI()*327*(ROW(B$2:B$1025)-1)/1024))</f>
        <v>3.2857239419369941</v>
      </c>
      <c r="D329">
        <f>SUMPRODUCT(B$2:B$1025, -SIN(2*PI()*327*(ROW(B$2:B$1025)-1)/1024))</f>
        <v>-6.0607937361963868</v>
      </c>
      <c r="E329">
        <f t="shared" si="11"/>
        <v>0.638671875</v>
      </c>
      <c r="F329">
        <f t="shared" si="10"/>
        <v>1.3465122314664674E-2</v>
      </c>
    </row>
    <row r="330" spans="1:6">
      <c r="A330">
        <v>164</v>
      </c>
      <c r="B330">
        <v>-0.82623255288475639</v>
      </c>
      <c r="C330">
        <f>SUMPRODUCT(B$2:B$1025, COS(2*PI()*328*(ROW(B$2:B$1025)-1)/1024))</f>
        <v>-0.39788992398514678</v>
      </c>
      <c r="D330">
        <f>SUMPRODUCT(B$2:B$1025, -SIN(2*PI()*328*(ROW(B$2:B$1025)-1)/1024))</f>
        <v>3.0680015436326062</v>
      </c>
      <c r="E330">
        <f t="shared" si="11"/>
        <v>0.640625</v>
      </c>
      <c r="F330">
        <f t="shared" si="10"/>
        <v>6.0423733973597434E-3</v>
      </c>
    </row>
    <row r="331" spans="1:6">
      <c r="A331">
        <v>164.5</v>
      </c>
      <c r="B331">
        <v>3.7883849560379129E-2</v>
      </c>
      <c r="C331">
        <f>SUMPRODUCT(B$2:B$1025, COS(2*PI()*329*(ROW(B$2:B$1025)-1)/1024))</f>
        <v>-8.9600484461810375</v>
      </c>
      <c r="D331">
        <f>SUMPRODUCT(B$2:B$1025, -SIN(2*PI()*329*(ROW(B$2:B$1025)-1)/1024))</f>
        <v>0.33222216581115704</v>
      </c>
      <c r="E331">
        <f t="shared" si="11"/>
        <v>0.642578125</v>
      </c>
      <c r="F331">
        <f t="shared" si="10"/>
        <v>1.7512119970928369E-2</v>
      </c>
    </row>
    <row r="332" spans="1:6">
      <c r="A332">
        <v>165</v>
      </c>
      <c r="B332">
        <v>-2.449354569347154E-3</v>
      </c>
      <c r="C332">
        <f>SUMPRODUCT(B$2:B$1025, COS(2*PI()*330*(ROW(B$2:B$1025)-1)/1024))</f>
        <v>-0.46971909586524196</v>
      </c>
      <c r="D332">
        <f>SUMPRODUCT(B$2:B$1025, -SIN(2*PI()*330*(ROW(B$2:B$1025)-1)/1024))</f>
        <v>-5.4601736821011402</v>
      </c>
      <c r="E332">
        <f t="shared" si="11"/>
        <v>0.64453125</v>
      </c>
      <c r="F332">
        <f t="shared" si="10"/>
        <v>1.0703790158771312E-2</v>
      </c>
    </row>
    <row r="333" spans="1:6">
      <c r="A333">
        <v>165.5</v>
      </c>
      <c r="B333">
        <v>-9.1665622004691028E-2</v>
      </c>
      <c r="C333">
        <f>SUMPRODUCT(B$2:B$1025, COS(2*PI()*331*(ROW(B$2:B$1025)-1)/1024))</f>
        <v>6.483029987765212</v>
      </c>
      <c r="D333">
        <f>SUMPRODUCT(B$2:B$1025, -SIN(2*PI()*331*(ROW(B$2:B$1025)-1)/1024))</f>
        <v>-1.1433654413244227</v>
      </c>
      <c r="E333">
        <f t="shared" si="11"/>
        <v>0.646484375</v>
      </c>
      <c r="F333">
        <f t="shared" si="10"/>
        <v>1.2857581102014628E-2</v>
      </c>
    </row>
    <row r="334" spans="1:6">
      <c r="A334">
        <v>166</v>
      </c>
      <c r="B334">
        <v>0.96621742793390653</v>
      </c>
      <c r="C334">
        <f>SUMPRODUCT(B$2:B$1025, COS(2*PI()*332*(ROW(B$2:B$1025)-1)/1024))</f>
        <v>1.027243480113738</v>
      </c>
      <c r="D334">
        <f>SUMPRODUCT(B$2:B$1025, -SIN(2*PI()*332*(ROW(B$2:B$1025)-1)/1024))</f>
        <v>-5.9334320417785564</v>
      </c>
      <c r="E334">
        <f t="shared" si="11"/>
        <v>0.6484375</v>
      </c>
      <c r="F334">
        <f t="shared" si="10"/>
        <v>1.1761128607628841E-2</v>
      </c>
    </row>
    <row r="335" spans="1:6">
      <c r="A335">
        <v>166.5</v>
      </c>
      <c r="B335">
        <v>1.315624173992737</v>
      </c>
      <c r="C335">
        <f>SUMPRODUCT(B$2:B$1025, COS(2*PI()*333*(ROW(B$2:B$1025)-1)/1024))</f>
        <v>8.7011889610796818</v>
      </c>
      <c r="D335">
        <f>SUMPRODUCT(B$2:B$1025, -SIN(2*PI()*333*(ROW(B$2:B$1025)-1)/1024))</f>
        <v>-0.87570865762397354</v>
      </c>
      <c r="E335">
        <f t="shared" si="11"/>
        <v>0.650390625</v>
      </c>
      <c r="F335">
        <f t="shared" si="10"/>
        <v>1.7080360649001237E-2</v>
      </c>
    </row>
    <row r="336" spans="1:6">
      <c r="A336">
        <v>167</v>
      </c>
      <c r="B336">
        <v>0.78280919897602641</v>
      </c>
      <c r="C336">
        <f>SUMPRODUCT(B$2:B$1025, COS(2*PI()*334*(ROW(B$2:B$1025)-1)/1024))</f>
        <v>-0.37291605414560669</v>
      </c>
      <c r="D336">
        <f>SUMPRODUCT(B$2:B$1025, -SIN(2*PI()*334*(ROW(B$2:B$1025)-1)/1024))</f>
        <v>2.6208066709635824</v>
      </c>
      <c r="E336">
        <f t="shared" si="11"/>
        <v>0.65234375</v>
      </c>
      <c r="F336">
        <f t="shared" si="10"/>
        <v>5.1703221468314209E-3</v>
      </c>
    </row>
    <row r="337" spans="1:6">
      <c r="A337">
        <v>167.5</v>
      </c>
      <c r="B337">
        <v>-0.52941147630041585</v>
      </c>
      <c r="C337">
        <f>SUMPRODUCT(B$2:B$1025, COS(2*PI()*335*(ROW(B$2:B$1025)-1)/1024))</f>
        <v>7.4535252680671356</v>
      </c>
      <c r="D337">
        <f>SUMPRODUCT(B$2:B$1025, -SIN(2*PI()*335*(ROW(B$2:B$1025)-1)/1024))</f>
        <v>-5.0719099357027684</v>
      </c>
      <c r="E337">
        <f t="shared" si="11"/>
        <v>0.654296875</v>
      </c>
      <c r="F337">
        <f t="shared" si="10"/>
        <v>1.7608405918927501E-2</v>
      </c>
    </row>
    <row r="338" spans="1:6">
      <c r="A338">
        <v>168</v>
      </c>
      <c r="B338">
        <v>-0.75288469165096494</v>
      </c>
      <c r="C338">
        <f>SUMPRODUCT(B$2:B$1025, COS(2*PI()*336*(ROW(B$2:B$1025)-1)/1024))</f>
        <v>-4.8251108533969713</v>
      </c>
      <c r="D338">
        <f>SUMPRODUCT(B$2:B$1025, -SIN(2*PI()*336*(ROW(B$2:B$1025)-1)/1024))</f>
        <v>-7.0402587497478351</v>
      </c>
      <c r="E338">
        <f t="shared" si="11"/>
        <v>0.65625</v>
      </c>
      <c r="F338">
        <f t="shared" si="10"/>
        <v>1.6670003456496399E-2</v>
      </c>
    </row>
    <row r="339" spans="1:6">
      <c r="A339">
        <v>168.5</v>
      </c>
      <c r="B339">
        <v>-0.5153336846257508</v>
      </c>
      <c r="C339">
        <f>SUMPRODUCT(B$2:B$1025, COS(2*PI()*337*(ROW(B$2:B$1025)-1)/1024))</f>
        <v>9.9253160983849913</v>
      </c>
      <c r="D339">
        <f>SUMPRODUCT(B$2:B$1025, -SIN(2*PI()*337*(ROW(B$2:B$1025)-1)/1024))</f>
        <v>3.9387654730812582</v>
      </c>
      <c r="E339">
        <f t="shared" si="11"/>
        <v>0.658203125</v>
      </c>
      <c r="F339">
        <f t="shared" si="10"/>
        <v>2.0856025625071689E-2</v>
      </c>
    </row>
    <row r="340" spans="1:6">
      <c r="A340">
        <v>169</v>
      </c>
      <c r="B340">
        <v>-0.86847022544002761</v>
      </c>
      <c r="C340">
        <f>SUMPRODUCT(B$2:B$1025, COS(2*PI()*338*(ROW(B$2:B$1025)-1)/1024))</f>
        <v>-4.1205930762505201</v>
      </c>
      <c r="D340">
        <f>SUMPRODUCT(B$2:B$1025, -SIN(2*PI()*338*(ROW(B$2:B$1025)-1)/1024))</f>
        <v>-0.35223881474621488</v>
      </c>
      <c r="E340">
        <f t="shared" si="11"/>
        <v>0.66015625</v>
      </c>
      <c r="F340">
        <f t="shared" si="10"/>
        <v>8.0773843941894415E-3</v>
      </c>
    </row>
    <row r="341" spans="1:6">
      <c r="A341">
        <v>169.5</v>
      </c>
      <c r="B341">
        <v>-1.2005301628532661</v>
      </c>
      <c r="C341">
        <f>SUMPRODUCT(B$2:B$1025, COS(2*PI()*339*(ROW(B$2:B$1025)-1)/1024))</f>
        <v>-0.46628899042298344</v>
      </c>
      <c r="D341">
        <f>SUMPRODUCT(B$2:B$1025, -SIN(2*PI()*339*(ROW(B$2:B$1025)-1)/1024))</f>
        <v>5.7500001605394102</v>
      </c>
      <c r="E341">
        <f t="shared" si="11"/>
        <v>0.662109375</v>
      </c>
      <c r="F341">
        <f t="shared" si="10"/>
        <v>1.1267335423801993E-2</v>
      </c>
    </row>
    <row r="342" spans="1:6">
      <c r="A342">
        <v>170</v>
      </c>
      <c r="B342">
        <v>-0.16444407911328729</v>
      </c>
      <c r="C342">
        <f>SUMPRODUCT(B$2:B$1025, COS(2*PI()*340*(ROW(B$2:B$1025)-1)/1024))</f>
        <v>-3.118367943074341</v>
      </c>
      <c r="D342">
        <f>SUMPRODUCT(B$2:B$1025, -SIN(2*PI()*340*(ROW(B$2:B$1025)-1)/1024))</f>
        <v>5.6487136928844555</v>
      </c>
      <c r="E342">
        <f t="shared" si="11"/>
        <v>0.6640625</v>
      </c>
      <c r="F342">
        <f t="shared" si="10"/>
        <v>1.2602149909021886E-2</v>
      </c>
    </row>
    <row r="343" spans="1:6">
      <c r="A343">
        <v>170.5</v>
      </c>
      <c r="B343">
        <v>1.13652269459084</v>
      </c>
      <c r="C343">
        <f>SUMPRODUCT(B$2:B$1025, COS(2*PI()*341*(ROW(B$2:B$1025)-1)/1024))</f>
        <v>7.7301471258607712</v>
      </c>
      <c r="D343">
        <f>SUMPRODUCT(B$2:B$1025, -SIN(2*PI()*341*(ROW(B$2:B$1025)-1)/1024))</f>
        <v>-3.2382278445097281</v>
      </c>
      <c r="E343">
        <f t="shared" si="11"/>
        <v>0.666015625</v>
      </c>
      <c r="F343">
        <f t="shared" si="10"/>
        <v>1.6369156140976959E-2</v>
      </c>
    </row>
    <row r="344" spans="1:6">
      <c r="A344">
        <v>171</v>
      </c>
      <c r="B344">
        <v>1.000049830516905</v>
      </c>
      <c r="C344">
        <f>SUMPRODUCT(B$2:B$1025, COS(2*PI()*342*(ROW(B$2:B$1025)-1)/1024))</f>
        <v>-4.9659325091165147</v>
      </c>
      <c r="D344">
        <f>SUMPRODUCT(B$2:B$1025, -SIN(2*PI()*342*(ROW(B$2:B$1025)-1)/1024))</f>
        <v>-5.882516808346848</v>
      </c>
      <c r="E344">
        <f t="shared" si="11"/>
        <v>0.66796875</v>
      </c>
      <c r="F344">
        <f t="shared" si="10"/>
        <v>1.5035826773152719E-2</v>
      </c>
    </row>
    <row r="345" spans="1:6">
      <c r="A345">
        <v>171.5</v>
      </c>
      <c r="B345">
        <v>0.3496678812209314</v>
      </c>
      <c r="C345">
        <f>SUMPRODUCT(B$2:B$1025, COS(2*PI()*343*(ROW(B$2:B$1025)-1)/1024))</f>
        <v>-4.7319899414838087</v>
      </c>
      <c r="D345">
        <f>SUMPRODUCT(B$2:B$1025, -SIN(2*PI()*343*(ROW(B$2:B$1025)-1)/1024))</f>
        <v>-2.6851622530811472</v>
      </c>
      <c r="E345">
        <f t="shared" si="11"/>
        <v>0.669921875</v>
      </c>
      <c r="F345">
        <f t="shared" si="10"/>
        <v>1.0626476433292125E-2</v>
      </c>
    </row>
    <row r="346" spans="1:6">
      <c r="A346">
        <v>172</v>
      </c>
      <c r="B346">
        <v>0.49357759116879768</v>
      </c>
      <c r="C346">
        <f>SUMPRODUCT(B$2:B$1025, COS(2*PI()*344*(ROW(B$2:B$1025)-1)/1024))</f>
        <v>6.9196991845758777</v>
      </c>
      <c r="D346">
        <f>SUMPRODUCT(B$2:B$1025, -SIN(2*PI()*344*(ROW(B$2:B$1025)-1)/1024))</f>
        <v>4.6408552151587763</v>
      </c>
      <c r="E346">
        <f t="shared" si="11"/>
        <v>0.671875</v>
      </c>
      <c r="F346">
        <f t="shared" si="10"/>
        <v>1.6273150334303762E-2</v>
      </c>
    </row>
    <row r="347" spans="1:6">
      <c r="A347">
        <v>172.5</v>
      </c>
      <c r="B347">
        <v>0.54640998747153213</v>
      </c>
      <c r="C347">
        <f>SUMPRODUCT(B$2:B$1025, COS(2*PI()*345*(ROW(B$2:B$1025)-1)/1024))</f>
        <v>5.5273219673128953</v>
      </c>
      <c r="D347">
        <f>SUMPRODUCT(B$2:B$1025, -SIN(2*PI()*345*(ROW(B$2:B$1025)-1)/1024))</f>
        <v>0.98384830167034498</v>
      </c>
      <c r="E347">
        <f t="shared" si="11"/>
        <v>0.673828125</v>
      </c>
      <c r="F347">
        <f t="shared" si="10"/>
        <v>1.0965235065742752E-2</v>
      </c>
    </row>
    <row r="348" spans="1:6">
      <c r="A348">
        <v>173</v>
      </c>
      <c r="B348">
        <v>-0.8774021205919138</v>
      </c>
      <c r="C348">
        <f>SUMPRODUCT(B$2:B$1025, COS(2*PI()*346*(ROW(B$2:B$1025)-1)/1024))</f>
        <v>-0.88435365780478703</v>
      </c>
      <c r="D348">
        <f>SUMPRODUCT(B$2:B$1025, -SIN(2*PI()*346*(ROW(B$2:B$1025)-1)/1024))</f>
        <v>0.6454346593692617</v>
      </c>
      <c r="E348">
        <f t="shared" si="11"/>
        <v>0.67578125</v>
      </c>
      <c r="F348">
        <f t="shared" si="10"/>
        <v>2.138352833284111E-3</v>
      </c>
    </row>
    <row r="349" spans="1:6">
      <c r="A349">
        <v>173.5</v>
      </c>
      <c r="B349">
        <v>-1.7325492711704651</v>
      </c>
      <c r="C349">
        <f>SUMPRODUCT(B$2:B$1025, COS(2*PI()*347*(ROW(B$2:B$1025)-1)/1024))</f>
        <v>-2.9880456104103676</v>
      </c>
      <c r="D349">
        <f>SUMPRODUCT(B$2:B$1025, -SIN(2*PI()*347*(ROW(B$2:B$1025)-1)/1024))</f>
        <v>3.1663251745601353</v>
      </c>
      <c r="E349">
        <f t="shared" si="11"/>
        <v>0.677734375</v>
      </c>
      <c r="F349">
        <f t="shared" si="10"/>
        <v>8.50316957527451E-3</v>
      </c>
    </row>
    <row r="350" spans="1:6">
      <c r="A350">
        <v>174</v>
      </c>
      <c r="B350">
        <v>-1.0947453605456761</v>
      </c>
      <c r="C350">
        <f>SUMPRODUCT(B$2:B$1025, COS(2*PI()*348*(ROW(B$2:B$1025)-1)/1024))</f>
        <v>5.5496912521828481</v>
      </c>
      <c r="D350">
        <f>SUMPRODUCT(B$2:B$1025, -SIN(2*PI()*348*(ROW(B$2:B$1025)-1)/1024))</f>
        <v>-4.9695243848314083</v>
      </c>
      <c r="E350">
        <f t="shared" si="11"/>
        <v>0.6796875</v>
      </c>
      <c r="F350">
        <f t="shared" si="10"/>
        <v>1.4549830296891896E-2</v>
      </c>
    </row>
    <row r="351" spans="1:6">
      <c r="A351">
        <v>174.5</v>
      </c>
      <c r="B351">
        <v>-0.1304746826348582</v>
      </c>
      <c r="C351">
        <f>SUMPRODUCT(B$2:B$1025, COS(2*PI()*349*(ROW(B$2:B$1025)-1)/1024))</f>
        <v>2.0703656590997146</v>
      </c>
      <c r="D351">
        <f>SUMPRODUCT(B$2:B$1025, -SIN(2*PI()*349*(ROW(B$2:B$1025)-1)/1024))</f>
        <v>-2.588624043354705</v>
      </c>
      <c r="E351">
        <f t="shared" si="11"/>
        <v>0.681640625</v>
      </c>
      <c r="F351">
        <f t="shared" si="10"/>
        <v>6.4740683103172558E-3</v>
      </c>
    </row>
    <row r="352" spans="1:6">
      <c r="A352">
        <v>175</v>
      </c>
      <c r="B352">
        <v>6.2181513119619052E-2</v>
      </c>
      <c r="C352">
        <f>SUMPRODUCT(B$2:B$1025, COS(2*PI()*350*(ROW(B$2:B$1025)-1)/1024))</f>
        <v>-8.6747591391477386</v>
      </c>
      <c r="D352">
        <f>SUMPRODUCT(B$2:B$1025, -SIN(2*PI()*350*(ROW(B$2:B$1025)-1)/1024))</f>
        <v>0.37602437199155919</v>
      </c>
      <c r="E352">
        <f t="shared" si="11"/>
        <v>0.68359375</v>
      </c>
      <c r="F352">
        <f t="shared" si="10"/>
        <v>1.695879896438568E-2</v>
      </c>
    </row>
    <row r="353" spans="1:6">
      <c r="A353">
        <v>175.5</v>
      </c>
      <c r="B353">
        <v>0.38285649568237379</v>
      </c>
      <c r="C353">
        <f>SUMPRODUCT(B$2:B$1025, COS(2*PI()*351*(ROW(B$2:B$1025)-1)/1024))</f>
        <v>7.9523285743882415</v>
      </c>
      <c r="D353">
        <f>SUMPRODUCT(B$2:B$1025, -SIN(2*PI()*351*(ROW(B$2:B$1025)-1)/1024))</f>
        <v>5.8148190112956657</v>
      </c>
      <c r="E353">
        <f t="shared" si="11"/>
        <v>0.685546875</v>
      </c>
      <c r="F353">
        <f t="shared" si="10"/>
        <v>1.9241171052110182E-2</v>
      </c>
    </row>
    <row r="354" spans="1:6">
      <c r="A354">
        <v>176</v>
      </c>
      <c r="B354">
        <v>1.122588440935516</v>
      </c>
      <c r="C354">
        <f>SUMPRODUCT(B$2:B$1025, COS(2*PI()*352*(ROW(B$2:B$1025)-1)/1024))</f>
        <v>3.2020711983899228</v>
      </c>
      <c r="D354">
        <f>SUMPRODUCT(B$2:B$1025, -SIN(2*PI()*352*(ROW(B$2:B$1025)-1)/1024))</f>
        <v>-3.252996878003676</v>
      </c>
      <c r="E354">
        <f t="shared" si="11"/>
        <v>0.6875</v>
      </c>
      <c r="F354">
        <f t="shared" si="10"/>
        <v>8.9151649477510111E-3</v>
      </c>
    </row>
    <row r="355" spans="1:6">
      <c r="A355">
        <v>176.5</v>
      </c>
      <c r="B355">
        <v>1.41906881030247</v>
      </c>
      <c r="C355">
        <f>SUMPRODUCT(B$2:B$1025, COS(2*PI()*353*(ROW(B$2:B$1025)-1)/1024))</f>
        <v>3.7246233120787022</v>
      </c>
      <c r="D355">
        <f>SUMPRODUCT(B$2:B$1025, -SIN(2*PI()*353*(ROW(B$2:B$1025)-1)/1024))</f>
        <v>2.8024614217520827</v>
      </c>
      <c r="E355">
        <f t="shared" si="11"/>
        <v>0.689453125</v>
      </c>
      <c r="F355">
        <f t="shared" si="10"/>
        <v>9.1038692500996325E-3</v>
      </c>
    </row>
    <row r="356" spans="1:6">
      <c r="A356">
        <v>177</v>
      </c>
      <c r="B356">
        <v>0.58398201071192435</v>
      </c>
      <c r="C356">
        <f>SUMPRODUCT(B$2:B$1025, COS(2*PI()*354*(ROW(B$2:B$1025)-1)/1024))</f>
        <v>-10.565347656756774</v>
      </c>
      <c r="D356">
        <f>SUMPRODUCT(B$2:B$1025, -SIN(2*PI()*354*(ROW(B$2:B$1025)-1)/1024))</f>
        <v>-1.0668073894718866</v>
      </c>
      <c r="E356">
        <f t="shared" si="11"/>
        <v>0.69140625</v>
      </c>
      <c r="F356">
        <f t="shared" si="10"/>
        <v>2.0740371227047527E-2</v>
      </c>
    </row>
    <row r="357" spans="1:6">
      <c r="A357">
        <v>177.5</v>
      </c>
      <c r="B357">
        <v>-0.70050587292756372</v>
      </c>
      <c r="C357">
        <f>SUMPRODUCT(B$2:B$1025, COS(2*PI()*355*(ROW(B$2:B$1025)-1)/1024))</f>
        <v>-7.3490876721440319</v>
      </c>
      <c r="D357">
        <f>SUMPRODUCT(B$2:B$1025, -SIN(2*PI()*355*(ROW(B$2:B$1025)-1)/1024))</f>
        <v>3.0013906415514939</v>
      </c>
      <c r="E357">
        <f t="shared" si="11"/>
        <v>0.693359375</v>
      </c>
      <c r="F357">
        <f t="shared" si="10"/>
        <v>1.5504594109231646E-2</v>
      </c>
    </row>
    <row r="358" spans="1:6">
      <c r="A358">
        <v>178</v>
      </c>
      <c r="B358">
        <v>-0.59148787949094872</v>
      </c>
      <c r="C358">
        <f>SUMPRODUCT(B$2:B$1025, COS(2*PI()*356*(ROW(B$2:B$1025)-1)/1024))</f>
        <v>4.9816345807936333</v>
      </c>
      <c r="D358">
        <f>SUMPRODUCT(B$2:B$1025, -SIN(2*PI()*356*(ROW(B$2:B$1025)-1)/1024))</f>
        <v>2.0579444221395149</v>
      </c>
      <c r="E358">
        <f t="shared" si="11"/>
        <v>0.6953125</v>
      </c>
      <c r="F358">
        <f t="shared" si="10"/>
        <v>1.0527292718810049E-2</v>
      </c>
    </row>
    <row r="359" spans="1:6">
      <c r="A359">
        <v>178.5</v>
      </c>
      <c r="B359">
        <v>-0.50878824407917522</v>
      </c>
      <c r="C359">
        <f>SUMPRODUCT(B$2:B$1025, COS(2*PI()*357*(ROW(B$2:B$1025)-1)/1024))</f>
        <v>2.5807610990099485</v>
      </c>
      <c r="D359">
        <f>SUMPRODUCT(B$2:B$1025, -SIN(2*PI()*357*(ROW(B$2:B$1025)-1)/1024))</f>
        <v>0.6620498404330174</v>
      </c>
      <c r="E359">
        <f t="shared" si="11"/>
        <v>0.697265625</v>
      </c>
      <c r="F359">
        <f t="shared" si="10"/>
        <v>5.2037634807104794E-3</v>
      </c>
    </row>
    <row r="360" spans="1:6">
      <c r="A360">
        <v>179</v>
      </c>
      <c r="B360">
        <v>-0.88651280422754208</v>
      </c>
      <c r="C360">
        <f>SUMPRODUCT(B$2:B$1025, COS(2*PI()*358*(ROW(B$2:B$1025)-1)/1024))</f>
        <v>3.5733297130443451</v>
      </c>
      <c r="D360">
        <f>SUMPRODUCT(B$2:B$1025, -SIN(2*PI()*358*(ROW(B$2:B$1025)-1)/1024))</f>
        <v>-0.4145204715211131</v>
      </c>
      <c r="E360">
        <f t="shared" si="11"/>
        <v>0.69921875</v>
      </c>
      <c r="F360">
        <f t="shared" si="10"/>
        <v>7.0259616775780577E-3</v>
      </c>
    </row>
    <row r="361" spans="1:6">
      <c r="A361">
        <v>179.5</v>
      </c>
      <c r="B361">
        <v>-1.2532314410029479</v>
      </c>
      <c r="C361">
        <f>SUMPRODUCT(B$2:B$1025, COS(2*PI()*359*(ROW(B$2:B$1025)-1)/1024))</f>
        <v>-1.674718664976917</v>
      </c>
      <c r="D361">
        <f>SUMPRODUCT(B$2:B$1025, -SIN(2*PI()*359*(ROW(B$2:B$1025)-1)/1024))</f>
        <v>1.7189258523661669E-2</v>
      </c>
      <c r="E361">
        <f t="shared" si="11"/>
        <v>0.701171875</v>
      </c>
      <c r="F361">
        <f t="shared" si="10"/>
        <v>3.2711071829141904E-3</v>
      </c>
    </row>
    <row r="362" spans="1:6">
      <c r="A362">
        <v>180</v>
      </c>
      <c r="B362">
        <v>0.1038693028482217</v>
      </c>
      <c r="C362">
        <f>SUMPRODUCT(B$2:B$1025, COS(2*PI()*360*(ROW(B$2:B$1025)-1)/1024))</f>
        <v>3.2036840977842118</v>
      </c>
      <c r="D362">
        <f>SUMPRODUCT(B$2:B$1025, -SIN(2*PI()*360*(ROW(B$2:B$1025)-1)/1024))</f>
        <v>-0.96738403022722641</v>
      </c>
      <c r="E362">
        <f t="shared" si="11"/>
        <v>0.703125</v>
      </c>
      <c r="F362">
        <f t="shared" si="10"/>
        <v>6.5362382769948392E-3</v>
      </c>
    </row>
    <row r="363" spans="1:6">
      <c r="A363">
        <v>180.5</v>
      </c>
      <c r="B363">
        <v>1.3943330348929841</v>
      </c>
      <c r="C363">
        <f>SUMPRODUCT(B$2:B$1025, COS(2*PI()*361*(ROW(B$2:B$1025)-1)/1024))</f>
        <v>3.7751875046942995E-4</v>
      </c>
      <c r="D363">
        <f>SUMPRODUCT(B$2:B$1025, -SIN(2*PI()*361*(ROW(B$2:B$1025)-1)/1024))</f>
        <v>-0.2187839374169481</v>
      </c>
      <c r="E363">
        <f t="shared" si="11"/>
        <v>0.705078125</v>
      </c>
      <c r="F363">
        <f t="shared" si="10"/>
        <v>4.2731301392012565E-4</v>
      </c>
    </row>
    <row r="364" spans="1:6">
      <c r="A364">
        <v>181</v>
      </c>
      <c r="B364">
        <v>0.92930448660379072</v>
      </c>
      <c r="C364">
        <f>SUMPRODUCT(B$2:B$1025, COS(2*PI()*362*(ROW(B$2:B$1025)-1)/1024))</f>
        <v>-3.6778307651684208</v>
      </c>
      <c r="D364">
        <f>SUMPRODUCT(B$2:B$1025, -SIN(2*PI()*362*(ROW(B$2:B$1025)-1)/1024))</f>
        <v>-8.9027553652048308</v>
      </c>
      <c r="E364">
        <f t="shared" si="11"/>
        <v>0.70703125</v>
      </c>
      <c r="F364">
        <f t="shared" si="10"/>
        <v>1.8813520762980002E-2</v>
      </c>
    </row>
    <row r="365" spans="1:6">
      <c r="A365">
        <v>181.5</v>
      </c>
      <c r="B365">
        <v>0.53139886071494136</v>
      </c>
      <c r="C365">
        <f>SUMPRODUCT(B$2:B$1025, COS(2*PI()*363*(ROW(B$2:B$1025)-1)/1024))</f>
        <v>4.4571264318421342</v>
      </c>
      <c r="D365">
        <f>SUMPRODUCT(B$2:B$1025, -SIN(2*PI()*363*(ROW(B$2:B$1025)-1)/1024))</f>
        <v>-1.5995050503069459</v>
      </c>
      <c r="E365">
        <f t="shared" si="11"/>
        <v>0.708984375</v>
      </c>
      <c r="F365">
        <f t="shared" si="10"/>
        <v>9.2489063411064082E-3</v>
      </c>
    </row>
    <row r="366" spans="1:6">
      <c r="A366">
        <v>182</v>
      </c>
      <c r="B366">
        <v>0.72581405063469961</v>
      </c>
      <c r="C366">
        <f>SUMPRODUCT(B$2:B$1025, COS(2*PI()*364*(ROW(B$2:B$1025)-1)/1024))</f>
        <v>-5.5360243468918586</v>
      </c>
      <c r="D366">
        <f>SUMPRODUCT(B$2:B$1025, -SIN(2*PI()*364*(ROW(B$2:B$1025)-1)/1024))</f>
        <v>-7.0622957199702157</v>
      </c>
      <c r="E366">
        <f t="shared" si="11"/>
        <v>0.7109375</v>
      </c>
      <c r="F366">
        <f t="shared" si="10"/>
        <v>1.7526354580462547E-2</v>
      </c>
    </row>
    <row r="367" spans="1:6">
      <c r="A367">
        <v>182.5</v>
      </c>
      <c r="B367">
        <v>0.41975590562285231</v>
      </c>
      <c r="C367">
        <f>SUMPRODUCT(B$2:B$1025, COS(2*PI()*365*(ROW(B$2:B$1025)-1)/1024))</f>
        <v>1.1768938093150525</v>
      </c>
      <c r="D367">
        <f>SUMPRODUCT(B$2:B$1025, -SIN(2*PI()*365*(ROW(B$2:B$1025)-1)/1024))</f>
        <v>1.6990790876342334</v>
      </c>
      <c r="E367">
        <f t="shared" si="11"/>
        <v>0.712890625</v>
      </c>
      <c r="F367">
        <f t="shared" si="10"/>
        <v>4.0368541399081531E-3</v>
      </c>
    </row>
    <row r="368" spans="1:6">
      <c r="A368">
        <v>183</v>
      </c>
      <c r="B368">
        <v>-0.5429667559303567</v>
      </c>
      <c r="C368">
        <f>SUMPRODUCT(B$2:B$1025, COS(2*PI()*366*(ROW(B$2:B$1025)-1)/1024))</f>
        <v>6.5468118860156306</v>
      </c>
      <c r="D368">
        <f>SUMPRODUCT(B$2:B$1025, -SIN(2*PI()*366*(ROW(B$2:B$1025)-1)/1024))</f>
        <v>3.370338680260055E-2</v>
      </c>
      <c r="E368">
        <f t="shared" si="11"/>
        <v>0.71484375</v>
      </c>
      <c r="F368">
        <f t="shared" si="10"/>
        <v>1.2786911404269645E-2</v>
      </c>
    </row>
    <row r="369" spans="1:6">
      <c r="A369">
        <v>183.5</v>
      </c>
      <c r="B369">
        <v>-1.448538036138791</v>
      </c>
      <c r="C369">
        <f>SUMPRODUCT(B$2:B$1025, COS(2*PI()*367*(ROW(B$2:B$1025)-1)/1024))</f>
        <v>3.1129658432541758</v>
      </c>
      <c r="D369">
        <f>SUMPRODUCT(B$2:B$1025, -SIN(2*PI()*367*(ROW(B$2:B$1025)-1)/1024))</f>
        <v>-4.5575232351368555</v>
      </c>
      <c r="E369">
        <f t="shared" si="11"/>
        <v>0.716796875</v>
      </c>
      <c r="F369">
        <f t="shared" si="10"/>
        <v>1.0779688515644681E-2</v>
      </c>
    </row>
    <row r="370" spans="1:6">
      <c r="A370">
        <v>184</v>
      </c>
      <c r="B370">
        <v>-0.93152129658541538</v>
      </c>
      <c r="C370">
        <f>SUMPRODUCT(B$2:B$1025, COS(2*PI()*368*(ROW(B$2:B$1025)-1)/1024))</f>
        <v>-2.8433169866646524</v>
      </c>
      <c r="D370">
        <f>SUMPRODUCT(B$2:B$1025, -SIN(2*PI()*368*(ROW(B$2:B$1025)-1)/1024))</f>
        <v>2.3844364568260743</v>
      </c>
      <c r="E370">
        <f t="shared" si="11"/>
        <v>0.71875</v>
      </c>
      <c r="F370">
        <f t="shared" si="10"/>
        <v>7.2476436345997562E-3</v>
      </c>
    </row>
    <row r="371" spans="1:6">
      <c r="A371">
        <v>184.5</v>
      </c>
      <c r="B371">
        <v>-0.24238720906357089</v>
      </c>
      <c r="C371">
        <f>SUMPRODUCT(B$2:B$1025, COS(2*PI()*369*(ROW(B$2:B$1025)-1)/1024))</f>
        <v>-7.5241332671198613</v>
      </c>
      <c r="D371">
        <f>SUMPRODUCT(B$2:B$1025, -SIN(2*PI()*369*(ROW(B$2:B$1025)-1)/1024))</f>
        <v>3.6124212227952652</v>
      </c>
      <c r="E371">
        <f t="shared" si="11"/>
        <v>0.720703125</v>
      </c>
      <c r="F371">
        <f t="shared" si="10"/>
        <v>1.6301536238689528E-2</v>
      </c>
    </row>
    <row r="372" spans="1:6">
      <c r="A372">
        <v>185</v>
      </c>
      <c r="B372">
        <v>4.9020348518174538E-3</v>
      </c>
      <c r="C372">
        <f>SUMPRODUCT(B$2:B$1025, COS(2*PI()*370*(ROW(B$2:B$1025)-1)/1024))</f>
        <v>-1.0684049003548199</v>
      </c>
      <c r="D372">
        <f>SUMPRODUCT(B$2:B$1025, -SIN(2*PI()*370*(ROW(B$2:B$1025)-1)/1024))</f>
        <v>6.9019117465436244</v>
      </c>
      <c r="E372">
        <f t="shared" si="11"/>
        <v>0.72265625</v>
      </c>
      <c r="F372">
        <f t="shared" si="10"/>
        <v>1.3640851350904213E-2</v>
      </c>
    </row>
    <row r="373" spans="1:6">
      <c r="A373">
        <v>185.5</v>
      </c>
      <c r="B373">
        <v>0.18738491054156439</v>
      </c>
      <c r="C373">
        <f>SUMPRODUCT(B$2:B$1025, COS(2*PI()*371*(ROW(B$2:B$1025)-1)/1024))</f>
        <v>2.548878940107894</v>
      </c>
      <c r="D373">
        <f>SUMPRODUCT(B$2:B$1025, -SIN(2*PI()*371*(ROW(B$2:B$1025)-1)/1024))</f>
        <v>-0.75750633976106219</v>
      </c>
      <c r="E373">
        <f t="shared" si="11"/>
        <v>0.724609375</v>
      </c>
      <c r="F373">
        <f t="shared" si="10"/>
        <v>5.1934764238612723E-3</v>
      </c>
    </row>
    <row r="374" spans="1:6">
      <c r="A374">
        <v>186</v>
      </c>
      <c r="B374">
        <v>1.241285237854127</v>
      </c>
      <c r="C374">
        <f>SUMPRODUCT(B$2:B$1025, COS(2*PI()*372*(ROW(B$2:B$1025)-1)/1024))</f>
        <v>-0.51648288903725392</v>
      </c>
      <c r="D374">
        <f>SUMPRODUCT(B$2:B$1025, -SIN(2*PI()*372*(ROW(B$2:B$1025)-1)/1024))</f>
        <v>2.9928076076828791</v>
      </c>
      <c r="E374">
        <f t="shared" si="11"/>
        <v>0.7265625</v>
      </c>
      <c r="F374">
        <f t="shared" si="10"/>
        <v>5.9317316086954742E-3</v>
      </c>
    </row>
    <row r="375" spans="1:6">
      <c r="A375">
        <v>186.5</v>
      </c>
      <c r="B375">
        <v>1.642910681512201</v>
      </c>
      <c r="C375">
        <f>SUMPRODUCT(B$2:B$1025, COS(2*PI()*373*(ROW(B$2:B$1025)-1)/1024))</f>
        <v>-2.5360683287014112</v>
      </c>
      <c r="D375">
        <f>SUMPRODUCT(B$2:B$1025, -SIN(2*PI()*373*(ROW(B$2:B$1025)-1)/1024))</f>
        <v>6.244060848590208</v>
      </c>
      <c r="E375">
        <f t="shared" si="11"/>
        <v>0.728515625</v>
      </c>
      <c r="F375">
        <f t="shared" si="10"/>
        <v>1.3162952366595503E-2</v>
      </c>
    </row>
    <row r="376" spans="1:6">
      <c r="A376">
        <v>187</v>
      </c>
      <c r="B376">
        <v>1.018421743794782</v>
      </c>
      <c r="C376">
        <f>SUMPRODUCT(B$2:B$1025, COS(2*PI()*374*(ROW(B$2:B$1025)-1)/1024))</f>
        <v>-2.7264282713525776</v>
      </c>
      <c r="D376">
        <f>SUMPRODUCT(B$2:B$1025, -SIN(2*PI()*374*(ROW(B$2:B$1025)-1)/1024))</f>
        <v>9.9049195416906315</v>
      </c>
      <c r="E376">
        <f t="shared" si="11"/>
        <v>0.73046875</v>
      </c>
      <c r="F376">
        <f t="shared" si="10"/>
        <v>2.0065053260041991E-2</v>
      </c>
    </row>
    <row r="377" spans="1:6">
      <c r="A377">
        <v>187.5</v>
      </c>
      <c r="B377">
        <v>-0.65346951257759711</v>
      </c>
      <c r="C377">
        <f>SUMPRODUCT(B$2:B$1025, COS(2*PI()*375*(ROW(B$2:B$1025)-1)/1024))</f>
        <v>-2.9236741720183614</v>
      </c>
      <c r="D377">
        <f>SUMPRODUCT(B$2:B$1025, -SIN(2*PI()*375*(ROW(B$2:B$1025)-1)/1024))</f>
        <v>-2.0455559670357719E-2</v>
      </c>
      <c r="E377">
        <f t="shared" si="11"/>
        <v>0.732421875</v>
      </c>
      <c r="F377">
        <f t="shared" si="10"/>
        <v>5.7104408790249724E-3</v>
      </c>
    </row>
    <row r="378" spans="1:6">
      <c r="A378">
        <v>188</v>
      </c>
      <c r="B378">
        <v>-0.4133211249483203</v>
      </c>
      <c r="C378">
        <f>SUMPRODUCT(B$2:B$1025, COS(2*PI()*376*(ROW(B$2:B$1025)-1)/1024))</f>
        <v>11.281845978425439</v>
      </c>
      <c r="D378">
        <f>SUMPRODUCT(B$2:B$1025, -SIN(2*PI()*376*(ROW(B$2:B$1025)-1)/1024))</f>
        <v>2.027393058297259</v>
      </c>
      <c r="E378">
        <f t="shared" si="11"/>
        <v>0.734375</v>
      </c>
      <c r="F378">
        <f t="shared" si="10"/>
        <v>2.2387820128447231E-2</v>
      </c>
    </row>
    <row r="379" spans="1:6">
      <c r="A379">
        <v>188.5</v>
      </c>
      <c r="B379">
        <v>-0.41438811514748158</v>
      </c>
      <c r="C379">
        <f>SUMPRODUCT(B$2:B$1025, COS(2*PI()*377*(ROW(B$2:B$1025)-1)/1024))</f>
        <v>-1.2022655918934144</v>
      </c>
      <c r="D379">
        <f>SUMPRODUCT(B$2:B$1025, -SIN(2*PI()*377*(ROW(B$2:B$1025)-1)/1024))</f>
        <v>1.7063621846378607</v>
      </c>
      <c r="E379">
        <f t="shared" si="11"/>
        <v>0.736328125</v>
      </c>
      <c r="F379">
        <f t="shared" si="10"/>
        <v>4.076894971824248E-3</v>
      </c>
    </row>
    <row r="380" spans="1:6">
      <c r="A380">
        <v>189</v>
      </c>
      <c r="B380">
        <v>-0.51309592965162421</v>
      </c>
      <c r="C380">
        <f>SUMPRODUCT(B$2:B$1025, COS(2*PI()*378*(ROW(B$2:B$1025)-1)/1024))</f>
        <v>1.0671282471203856</v>
      </c>
      <c r="D380">
        <f>SUMPRODUCT(B$2:B$1025, -SIN(2*PI()*378*(ROW(B$2:B$1025)-1)/1024))</f>
        <v>4.1874198708853259</v>
      </c>
      <c r="E380">
        <f t="shared" si="11"/>
        <v>0.73828125</v>
      </c>
      <c r="F380">
        <f t="shared" si="10"/>
        <v>8.4399518715104309E-3</v>
      </c>
    </row>
    <row r="381" spans="1:6">
      <c r="A381">
        <v>189.5</v>
      </c>
      <c r="B381">
        <v>-1.2494449093635021</v>
      </c>
      <c r="C381">
        <f>SUMPRODUCT(B$2:B$1025, COS(2*PI()*379*(ROW(B$2:B$1025)-1)/1024))</f>
        <v>7.2315121920981174</v>
      </c>
      <c r="D381">
        <f>SUMPRODUCT(B$2:B$1025, -SIN(2*PI()*379*(ROW(B$2:B$1025)-1)/1024))</f>
        <v>-4.4684951006330564</v>
      </c>
      <c r="E381">
        <f t="shared" si="11"/>
        <v>0.740234375</v>
      </c>
      <c r="F381">
        <f t="shared" si="10"/>
        <v>1.6602966053817933E-2</v>
      </c>
    </row>
    <row r="382" spans="1:6">
      <c r="A382">
        <v>190</v>
      </c>
      <c r="B382">
        <v>-0.16794436843617969</v>
      </c>
      <c r="C382">
        <f>SUMPRODUCT(B$2:B$1025, COS(2*PI()*380*(ROW(B$2:B$1025)-1)/1024))</f>
        <v>-4.3377861793329409</v>
      </c>
      <c r="D382">
        <f>SUMPRODUCT(B$2:B$1025, -SIN(2*PI()*380*(ROW(B$2:B$1025)-1)/1024))</f>
        <v>5.5119815772133531</v>
      </c>
      <c r="E382">
        <f t="shared" si="11"/>
        <v>0.7421875</v>
      </c>
      <c r="F382">
        <f t="shared" si="10"/>
        <v>1.3699515843036768E-2</v>
      </c>
    </row>
    <row r="383" spans="1:6">
      <c r="A383">
        <v>190.5</v>
      </c>
      <c r="B383">
        <v>0.96790672320365245</v>
      </c>
      <c r="C383">
        <f>SUMPRODUCT(B$2:B$1025, COS(2*PI()*381*(ROW(B$2:B$1025)-1)/1024))</f>
        <v>-4.3246774552543688</v>
      </c>
      <c r="D383">
        <f>SUMPRODUCT(B$2:B$1025, -SIN(2*PI()*381*(ROW(B$2:B$1025)-1)/1024))</f>
        <v>-3.0230688835548776</v>
      </c>
      <c r="E383">
        <f t="shared" si="11"/>
        <v>0.744140625</v>
      </c>
      <c r="F383">
        <f t="shared" si="10"/>
        <v>1.0305724826422143E-2</v>
      </c>
    </row>
    <row r="384" spans="1:6">
      <c r="A384">
        <v>191</v>
      </c>
      <c r="B384">
        <v>0.52627737143319342</v>
      </c>
      <c r="C384">
        <f>SUMPRODUCT(B$2:B$1025, COS(2*PI()*382*(ROW(B$2:B$1025)-1)/1024))</f>
        <v>4.4216238460418928</v>
      </c>
      <c r="D384">
        <f>SUMPRODUCT(B$2:B$1025, -SIN(2*PI()*382*(ROW(B$2:B$1025)-1)/1024))</f>
        <v>4.814369617868465</v>
      </c>
      <c r="E384">
        <f t="shared" si="11"/>
        <v>0.74609375</v>
      </c>
      <c r="F384">
        <f t="shared" si="10"/>
        <v>1.2767061711135863E-2</v>
      </c>
    </row>
    <row r="385" spans="1:6">
      <c r="A385">
        <v>191.5</v>
      </c>
      <c r="B385">
        <v>0.34590551195900537</v>
      </c>
      <c r="C385">
        <f>SUMPRODUCT(B$2:B$1025, COS(2*PI()*383*(ROW(B$2:B$1025)-1)/1024))</f>
        <v>1.8303195772500185</v>
      </c>
      <c r="D385">
        <f>SUMPRODUCT(B$2:B$1025, -SIN(2*PI()*383*(ROW(B$2:B$1025)-1)/1024))</f>
        <v>4.922557905829243</v>
      </c>
      <c r="E385">
        <f t="shared" si="11"/>
        <v>0.748046875</v>
      </c>
      <c r="F385">
        <f t="shared" si="10"/>
        <v>1.0257467032614879E-2</v>
      </c>
    </row>
    <row r="386" spans="1:6">
      <c r="A386">
        <v>192</v>
      </c>
      <c r="B386">
        <v>0.4359587199817293</v>
      </c>
      <c r="C386">
        <f>SUMPRODUCT(B$2:B$1025, COS(2*PI()*384*(ROW(B$2:B$1025)-1)/1024))</f>
        <v>1.0895833519828071</v>
      </c>
      <c r="D386">
        <f>SUMPRODUCT(B$2:B$1025, -SIN(2*PI()*384*(ROW(B$2:B$1025)-1)/1024))</f>
        <v>4.4900764493589334</v>
      </c>
      <c r="E386">
        <f t="shared" si="11"/>
        <v>0.75</v>
      </c>
      <c r="F386">
        <f t="shared" si="10"/>
        <v>9.0241938607696776E-3</v>
      </c>
    </row>
    <row r="387" spans="1:6">
      <c r="A387">
        <v>192.5</v>
      </c>
      <c r="B387">
        <v>0.53007875729524734</v>
      </c>
      <c r="C387">
        <f>SUMPRODUCT(B$2:B$1025, COS(2*PI()*385*(ROW(B$2:B$1025)-1)/1024))</f>
        <v>0.30104640865670751</v>
      </c>
      <c r="D387">
        <f>SUMPRODUCT(B$2:B$1025, -SIN(2*PI()*385*(ROW(B$2:B$1025)-1)/1024))</f>
        <v>-6.4949961599316124</v>
      </c>
      <c r="E387">
        <f t="shared" si="11"/>
        <v>0.751953125</v>
      </c>
      <c r="F387">
        <f t="shared" ref="F387:F450" si="12">SQRT(C387^2 + D387^2)/(1024/2)</f>
        <v>1.269915868085445E-2</v>
      </c>
    </row>
    <row r="388" spans="1:6">
      <c r="A388">
        <v>193</v>
      </c>
      <c r="B388">
        <v>-0.51943405713702229</v>
      </c>
      <c r="C388">
        <f>SUMPRODUCT(B$2:B$1025, COS(2*PI()*386*(ROW(B$2:B$1025)-1)/1024))</f>
        <v>4.1031317631372914</v>
      </c>
      <c r="D388">
        <f>SUMPRODUCT(B$2:B$1025, -SIN(2*PI()*386*(ROW(B$2:B$1025)-1)/1024))</f>
        <v>2.428229997794451</v>
      </c>
      <c r="E388">
        <f t="shared" ref="E388:E451" si="13">(ROW()-2)*(2/1024)</f>
        <v>0.75390625</v>
      </c>
      <c r="F388">
        <f t="shared" si="12"/>
        <v>9.3121246032536516E-3</v>
      </c>
    </row>
    <row r="389" spans="1:6">
      <c r="A389">
        <v>193.5</v>
      </c>
      <c r="B389">
        <v>-1.0758223484519771</v>
      </c>
      <c r="C389">
        <f>SUMPRODUCT(B$2:B$1025, COS(2*PI()*387*(ROW(B$2:B$1025)-1)/1024))</f>
        <v>-2.895361663735756</v>
      </c>
      <c r="D389">
        <f>SUMPRODUCT(B$2:B$1025, -SIN(2*PI()*387*(ROW(B$2:B$1025)-1)/1024))</f>
        <v>-3.5716908483751064</v>
      </c>
      <c r="E389">
        <f t="shared" si="13"/>
        <v>0.755859375</v>
      </c>
      <c r="F389">
        <f t="shared" si="12"/>
        <v>8.9801481820514385E-3</v>
      </c>
    </row>
    <row r="390" spans="1:6">
      <c r="A390">
        <v>194</v>
      </c>
      <c r="B390">
        <v>-0.76097174865796458</v>
      </c>
      <c r="C390">
        <f>SUMPRODUCT(B$2:B$1025, COS(2*PI()*388*(ROW(B$2:B$1025)-1)/1024))</f>
        <v>6.3003609871281725</v>
      </c>
      <c r="D390">
        <f>SUMPRODUCT(B$2:B$1025, -SIN(2*PI()*388*(ROW(B$2:B$1025)-1)/1024))</f>
        <v>1.9410771754529006</v>
      </c>
      <c r="E390">
        <f t="shared" si="13"/>
        <v>0.7578125</v>
      </c>
      <c r="F390">
        <f t="shared" si="12"/>
        <v>1.2876165121627097E-2</v>
      </c>
    </row>
    <row r="391" spans="1:6">
      <c r="A391">
        <v>194.5</v>
      </c>
      <c r="B391">
        <v>-0.20316598342497019</v>
      </c>
      <c r="C391">
        <f>SUMPRODUCT(B$2:B$1025, COS(2*PI()*389*(ROW(B$2:B$1025)-1)/1024))</f>
        <v>-0.62778732592271824</v>
      </c>
      <c r="D391">
        <f>SUMPRODUCT(B$2:B$1025, -SIN(2*PI()*389*(ROW(B$2:B$1025)-1)/1024))</f>
        <v>9.0460509594345826</v>
      </c>
      <c r="E391">
        <f t="shared" si="13"/>
        <v>0.759765625</v>
      </c>
      <c r="F391">
        <f t="shared" si="12"/>
        <v>1.7710563895993989E-2</v>
      </c>
    </row>
    <row r="392" spans="1:6">
      <c r="A392">
        <v>195</v>
      </c>
      <c r="B392">
        <v>-0.17968293426966031</v>
      </c>
      <c r="C392">
        <f>SUMPRODUCT(B$2:B$1025, COS(2*PI()*390*(ROW(B$2:B$1025)-1)/1024))</f>
        <v>3.5972417680570032</v>
      </c>
      <c r="D392">
        <f>SUMPRODUCT(B$2:B$1025, -SIN(2*PI()*390*(ROW(B$2:B$1025)-1)/1024))</f>
        <v>2.6580194655160678</v>
      </c>
      <c r="E392">
        <f t="shared" si="13"/>
        <v>0.76171875</v>
      </c>
      <c r="F392">
        <f t="shared" si="12"/>
        <v>8.7357794200075937E-3</v>
      </c>
    </row>
    <row r="393" spans="1:6">
      <c r="A393">
        <v>195.5</v>
      </c>
      <c r="B393">
        <v>0.18616908659376369</v>
      </c>
      <c r="C393">
        <f>SUMPRODUCT(B$2:B$1025, COS(2*PI()*391*(ROW(B$2:B$1025)-1)/1024))</f>
        <v>12.761829466225045</v>
      </c>
      <c r="D393">
        <f>SUMPRODUCT(B$2:B$1025, -SIN(2*PI()*391*(ROW(B$2:B$1025)-1)/1024))</f>
        <v>-2.1657557948104995</v>
      </c>
      <c r="E393">
        <f t="shared" si="13"/>
        <v>0.763671875</v>
      </c>
      <c r="F393">
        <f t="shared" si="12"/>
        <v>2.528182741222141E-2</v>
      </c>
    </row>
    <row r="394" spans="1:6">
      <c r="A394">
        <v>196</v>
      </c>
      <c r="B394">
        <v>0.68700987489098897</v>
      </c>
      <c r="C394">
        <f>SUMPRODUCT(B$2:B$1025, COS(2*PI()*392*(ROW(B$2:B$1025)-1)/1024))</f>
        <v>6.5445085810174017</v>
      </c>
      <c r="D394">
        <f>SUMPRODUCT(B$2:B$1025, -SIN(2*PI()*392*(ROW(B$2:B$1025)-1)/1024))</f>
        <v>-6.1308457833525241</v>
      </c>
      <c r="E394">
        <f t="shared" si="13"/>
        <v>0.765625</v>
      </c>
      <c r="F394">
        <f t="shared" si="12"/>
        <v>1.7514845146766784E-2</v>
      </c>
    </row>
    <row r="395" spans="1:6">
      <c r="A395">
        <v>196.5</v>
      </c>
      <c r="B395">
        <v>1.8173482694660259</v>
      </c>
      <c r="C395">
        <f>SUMPRODUCT(B$2:B$1025, COS(2*PI()*393*(ROW(B$2:B$1025)-1)/1024))</f>
        <v>-8.540122466836797</v>
      </c>
      <c r="D395">
        <f>SUMPRODUCT(B$2:B$1025, -SIN(2*PI()*393*(ROW(B$2:B$1025)-1)/1024))</f>
        <v>1.8952111804761278</v>
      </c>
      <c r="E395">
        <f t="shared" si="13"/>
        <v>0.767578125</v>
      </c>
      <c r="F395">
        <f t="shared" si="12"/>
        <v>1.708571570312907E-2</v>
      </c>
    </row>
    <row r="396" spans="1:6">
      <c r="A396">
        <v>197</v>
      </c>
      <c r="B396">
        <v>0.82367327643677135</v>
      </c>
      <c r="C396">
        <f>SUMPRODUCT(B$2:B$1025, COS(2*PI()*394*(ROW(B$2:B$1025)-1)/1024))</f>
        <v>1.846270716542918</v>
      </c>
      <c r="D396">
        <f>SUMPRODUCT(B$2:B$1025, -SIN(2*PI()*394*(ROW(B$2:B$1025)-1)/1024))</f>
        <v>-3.3582772566155996</v>
      </c>
      <c r="E396">
        <f t="shared" si="13"/>
        <v>0.76953125</v>
      </c>
      <c r="F396">
        <f t="shared" si="12"/>
        <v>7.4850165911538391E-3</v>
      </c>
    </row>
    <row r="397" spans="1:6">
      <c r="A397">
        <v>197.5</v>
      </c>
      <c r="B397">
        <v>-0.59383513042094183</v>
      </c>
      <c r="C397">
        <f>SUMPRODUCT(B$2:B$1025, COS(2*PI()*395*(ROW(B$2:B$1025)-1)/1024))</f>
        <v>1.6193200457845953</v>
      </c>
      <c r="D397">
        <f>SUMPRODUCT(B$2:B$1025, -SIN(2*PI()*395*(ROW(B$2:B$1025)-1)/1024))</f>
        <v>8.8308174152710119</v>
      </c>
      <c r="E397">
        <f t="shared" si="13"/>
        <v>0.771484375</v>
      </c>
      <c r="F397">
        <f t="shared" si="12"/>
        <v>1.7535270421133228E-2</v>
      </c>
    </row>
    <row r="398" spans="1:6">
      <c r="A398">
        <v>198</v>
      </c>
      <c r="B398">
        <v>-0.93041215811061662</v>
      </c>
      <c r="C398">
        <f>SUMPRODUCT(B$2:B$1025, COS(2*PI()*396*(ROW(B$2:B$1025)-1)/1024))</f>
        <v>-4.4019545012557906</v>
      </c>
      <c r="D398">
        <f>SUMPRODUCT(B$2:B$1025, -SIN(2*PI()*396*(ROW(B$2:B$1025)-1)/1024))</f>
        <v>5.232815865312948</v>
      </c>
      <c r="E398">
        <f t="shared" si="13"/>
        <v>0.7734375</v>
      </c>
      <c r="F398">
        <f t="shared" si="12"/>
        <v>1.3355657450503879E-2</v>
      </c>
    </row>
    <row r="399" spans="1:6">
      <c r="A399">
        <v>198.5</v>
      </c>
      <c r="B399">
        <v>-0.18028204146206481</v>
      </c>
      <c r="C399">
        <f>SUMPRODUCT(B$2:B$1025, COS(2*PI()*397*(ROW(B$2:B$1025)-1)/1024))</f>
        <v>1.1405690187780597</v>
      </c>
      <c r="D399">
        <f>SUMPRODUCT(B$2:B$1025, -SIN(2*PI()*397*(ROW(B$2:B$1025)-1)/1024))</f>
        <v>5.5932819757579288</v>
      </c>
      <c r="E399">
        <f t="shared" si="13"/>
        <v>0.775390625</v>
      </c>
      <c r="F399">
        <f t="shared" si="12"/>
        <v>1.1149196576468925E-2</v>
      </c>
    </row>
    <row r="400" spans="1:6">
      <c r="A400">
        <v>199</v>
      </c>
      <c r="B400">
        <v>-0.97396448534568969</v>
      </c>
      <c r="C400">
        <f>SUMPRODUCT(B$2:B$1025, COS(2*PI()*398*(ROW(B$2:B$1025)-1)/1024))</f>
        <v>-2.895920674485942</v>
      </c>
      <c r="D400">
        <f>SUMPRODUCT(B$2:B$1025, -SIN(2*PI()*398*(ROW(B$2:B$1025)-1)/1024))</f>
        <v>2.9727604536072385</v>
      </c>
      <c r="E400">
        <f t="shared" si="13"/>
        <v>0.77734375</v>
      </c>
      <c r="F400">
        <f t="shared" si="12"/>
        <v>8.1057420105119533E-3</v>
      </c>
    </row>
    <row r="401" spans="1:6">
      <c r="A401">
        <v>199.5</v>
      </c>
      <c r="B401">
        <v>-0.8402219898977914</v>
      </c>
      <c r="C401">
        <f>SUMPRODUCT(B$2:B$1025, COS(2*PI()*399*(ROW(B$2:B$1025)-1)/1024))</f>
        <v>4.4379227879912815</v>
      </c>
      <c r="D401">
        <f>SUMPRODUCT(B$2:B$1025, -SIN(2*PI()*399*(ROW(B$2:B$1025)-1)/1024))</f>
        <v>-4.6729553919053677</v>
      </c>
      <c r="E401">
        <f t="shared" si="13"/>
        <v>0.779296875</v>
      </c>
      <c r="F401">
        <f t="shared" si="12"/>
        <v>1.2586927778904923E-2</v>
      </c>
    </row>
    <row r="402" spans="1:6">
      <c r="A402">
        <v>200</v>
      </c>
      <c r="B402">
        <v>-0.31888553175888129</v>
      </c>
      <c r="C402">
        <f>SUMPRODUCT(B$2:B$1025, COS(2*PI()*400*(ROW(B$2:B$1025)-1)/1024))</f>
        <v>5.1793578482393308</v>
      </c>
      <c r="D402">
        <f>SUMPRODUCT(B$2:B$1025, -SIN(2*PI()*400*(ROW(B$2:B$1025)-1)/1024))</f>
        <v>-3.9073003782931903</v>
      </c>
      <c r="E402">
        <f t="shared" si="13"/>
        <v>0.78125</v>
      </c>
      <c r="F402">
        <f t="shared" si="12"/>
        <v>1.2671664267609302E-2</v>
      </c>
    </row>
    <row r="403" spans="1:6">
      <c r="A403">
        <v>200.5</v>
      </c>
      <c r="B403">
        <v>0.96791024770171341</v>
      </c>
      <c r="C403">
        <f>SUMPRODUCT(B$2:B$1025, COS(2*PI()*401*(ROW(B$2:B$1025)-1)/1024))</f>
        <v>1.1981884482882188</v>
      </c>
      <c r="D403">
        <f>SUMPRODUCT(B$2:B$1025, -SIN(2*PI()*401*(ROW(B$2:B$1025)-1)/1024))</f>
        <v>7.7499024851726217</v>
      </c>
      <c r="E403">
        <f t="shared" si="13"/>
        <v>0.783203125</v>
      </c>
      <c r="F403">
        <f t="shared" si="12"/>
        <v>1.5316366411290971E-2</v>
      </c>
    </row>
    <row r="404" spans="1:6">
      <c r="A404">
        <v>201</v>
      </c>
      <c r="B404">
        <v>0.95210525623879283</v>
      </c>
      <c r="C404">
        <f>SUMPRODUCT(B$2:B$1025, COS(2*PI()*402*(ROW(B$2:B$1025)-1)/1024))</f>
        <v>-0.76372386329325748</v>
      </c>
      <c r="D404">
        <f>SUMPRODUCT(B$2:B$1025, -SIN(2*PI()*402*(ROW(B$2:B$1025)-1)/1024))</f>
        <v>1.5855386371026401</v>
      </c>
      <c r="E404">
        <f t="shared" si="13"/>
        <v>0.78515625</v>
      </c>
      <c r="F404">
        <f t="shared" si="12"/>
        <v>3.4372818806802105E-3</v>
      </c>
    </row>
    <row r="405" spans="1:6">
      <c r="A405">
        <v>201.5</v>
      </c>
      <c r="B405">
        <v>0.46045263504810169</v>
      </c>
      <c r="C405">
        <f>SUMPRODUCT(B$2:B$1025, COS(2*PI()*403*(ROW(B$2:B$1025)-1)/1024))</f>
        <v>6.3919046786368838</v>
      </c>
      <c r="D405">
        <f>SUMPRODUCT(B$2:B$1025, -SIN(2*PI()*403*(ROW(B$2:B$1025)-1)/1024))</f>
        <v>4.3428357011591707</v>
      </c>
      <c r="E405">
        <f t="shared" si="13"/>
        <v>0.787109375</v>
      </c>
      <c r="F405">
        <f t="shared" si="12"/>
        <v>1.5093078136841947E-2</v>
      </c>
    </row>
    <row r="406" spans="1:6">
      <c r="A406">
        <v>202</v>
      </c>
      <c r="B406">
        <v>0.49777215799661212</v>
      </c>
      <c r="C406">
        <f>SUMPRODUCT(B$2:B$1025, COS(2*PI()*404*(ROW(B$2:B$1025)-1)/1024))</f>
        <v>3.9620303984354508</v>
      </c>
      <c r="D406">
        <f>SUMPRODUCT(B$2:B$1025, -SIN(2*PI()*404*(ROW(B$2:B$1025)-1)/1024))</f>
        <v>-0.55850842166442027</v>
      </c>
      <c r="E406">
        <f t="shared" si="13"/>
        <v>0.7890625</v>
      </c>
      <c r="F406">
        <f t="shared" si="12"/>
        <v>7.8148474342446053E-3</v>
      </c>
    </row>
    <row r="407" spans="1:6">
      <c r="A407">
        <v>202.5</v>
      </c>
      <c r="B407">
        <v>0.62456998646952033</v>
      </c>
      <c r="C407">
        <f>SUMPRODUCT(B$2:B$1025, COS(2*PI()*405*(ROW(B$2:B$1025)-1)/1024))</f>
        <v>-2.3564990857939061</v>
      </c>
      <c r="D407">
        <f>SUMPRODUCT(B$2:B$1025, -SIN(2*PI()*405*(ROW(B$2:B$1025)-1)/1024))</f>
        <v>-4.7742773918407266</v>
      </c>
      <c r="E407">
        <f t="shared" si="13"/>
        <v>0.791015625</v>
      </c>
      <c r="F407">
        <f t="shared" si="12"/>
        <v>1.0398774367443011E-2</v>
      </c>
    </row>
    <row r="408" spans="1:6">
      <c r="A408">
        <v>203</v>
      </c>
      <c r="B408">
        <v>-0.80130933816896399</v>
      </c>
      <c r="C408">
        <f>SUMPRODUCT(B$2:B$1025, COS(2*PI()*406*(ROW(B$2:B$1025)-1)/1024))</f>
        <v>1.1923297828420107</v>
      </c>
      <c r="D408">
        <f>SUMPRODUCT(B$2:B$1025, -SIN(2*PI()*406*(ROW(B$2:B$1025)-1)/1024))</f>
        <v>1.9170733335296357</v>
      </c>
      <c r="E408">
        <f t="shared" si="13"/>
        <v>0.79296875</v>
      </c>
      <c r="F408">
        <f t="shared" si="12"/>
        <v>4.4094021292789363E-3</v>
      </c>
    </row>
    <row r="409" spans="1:6">
      <c r="A409">
        <v>203.5</v>
      </c>
      <c r="B409">
        <v>-1.4795324132994081</v>
      </c>
      <c r="C409">
        <f>SUMPRODUCT(B$2:B$1025, COS(2*PI()*407*(ROW(B$2:B$1025)-1)/1024))</f>
        <v>-6.7141370963487965</v>
      </c>
      <c r="D409">
        <f>SUMPRODUCT(B$2:B$1025, -SIN(2*PI()*407*(ROW(B$2:B$1025)-1)/1024))</f>
        <v>-4.0885095731742593</v>
      </c>
      <c r="E409">
        <f t="shared" si="13"/>
        <v>0.794921875</v>
      </c>
      <c r="F409">
        <f t="shared" si="12"/>
        <v>1.5353543760124287E-2</v>
      </c>
    </row>
    <row r="410" spans="1:6">
      <c r="A410">
        <v>204</v>
      </c>
      <c r="B410">
        <v>-0.92699738995280534</v>
      </c>
      <c r="C410">
        <f>SUMPRODUCT(B$2:B$1025, COS(2*PI()*408*(ROW(B$2:B$1025)-1)/1024))</f>
        <v>7.2782516840179703</v>
      </c>
      <c r="D410">
        <f>SUMPRODUCT(B$2:B$1025, -SIN(2*PI()*408*(ROW(B$2:B$1025)-1)/1024))</f>
        <v>-1.5698659746780648</v>
      </c>
      <c r="E410">
        <f t="shared" si="13"/>
        <v>0.796875</v>
      </c>
      <c r="F410">
        <f t="shared" si="12"/>
        <v>1.4542248803164941E-2</v>
      </c>
    </row>
    <row r="411" spans="1:6">
      <c r="A411">
        <v>204.5</v>
      </c>
      <c r="B411">
        <v>1.5102514519271351E-2</v>
      </c>
      <c r="C411">
        <f>SUMPRODUCT(B$2:B$1025, COS(2*PI()*409*(ROW(B$2:B$1025)-1)/1024))</f>
        <v>-6.0777456584558536</v>
      </c>
      <c r="D411">
        <f>SUMPRODUCT(B$2:B$1025, -SIN(2*PI()*409*(ROW(B$2:B$1025)-1)/1024))</f>
        <v>4.2476432223917833</v>
      </c>
      <c r="E411">
        <f t="shared" si="13"/>
        <v>0.798828125</v>
      </c>
      <c r="F411">
        <f t="shared" si="12"/>
        <v>1.4482321812703494E-2</v>
      </c>
    </row>
    <row r="412" spans="1:6">
      <c r="A412">
        <v>205</v>
      </c>
      <c r="B412">
        <v>0.1423229756177716</v>
      </c>
      <c r="C412">
        <f>SUMPRODUCT(B$2:B$1025, COS(2*PI()*410*(ROW(B$2:B$1025)-1)/1024))</f>
        <v>-1.0121610857660119</v>
      </c>
      <c r="D412">
        <f>SUMPRODUCT(B$2:B$1025, -SIN(2*PI()*410*(ROW(B$2:B$1025)-1)/1024))</f>
        <v>3.9392528211764208</v>
      </c>
      <c r="E412">
        <f t="shared" si="13"/>
        <v>0.80078125</v>
      </c>
      <c r="F412">
        <f t="shared" si="12"/>
        <v>7.9437660901871873E-3</v>
      </c>
    </row>
    <row r="413" spans="1:6">
      <c r="A413">
        <v>205.5</v>
      </c>
      <c r="B413">
        <v>-0.13714316607510019</v>
      </c>
      <c r="C413">
        <f>SUMPRODUCT(B$2:B$1025, COS(2*PI()*411*(ROW(B$2:B$1025)-1)/1024))</f>
        <v>1.6379496143212782</v>
      </c>
      <c r="D413">
        <f>SUMPRODUCT(B$2:B$1025, -SIN(2*PI()*411*(ROW(B$2:B$1025)-1)/1024))</f>
        <v>-9.5810836155592636</v>
      </c>
      <c r="E413">
        <f t="shared" si="13"/>
        <v>0.802734375</v>
      </c>
      <c r="F413">
        <f t="shared" si="12"/>
        <v>1.8984539988853674E-2</v>
      </c>
    </row>
    <row r="414" spans="1:6">
      <c r="A414">
        <v>206</v>
      </c>
      <c r="B414">
        <v>0.64423368214799126</v>
      </c>
      <c r="C414">
        <f>SUMPRODUCT(B$2:B$1025, COS(2*PI()*412*(ROW(B$2:B$1025)-1)/1024))</f>
        <v>-4.3089353625116296</v>
      </c>
      <c r="D414">
        <f>SUMPRODUCT(B$2:B$1025, -SIN(2*PI()*412*(ROW(B$2:B$1025)-1)/1024))</f>
        <v>7.7125248887422559</v>
      </c>
      <c r="E414">
        <f t="shared" si="13"/>
        <v>0.8046875</v>
      </c>
      <c r="F414">
        <f t="shared" si="12"/>
        <v>1.7255056786408849E-2</v>
      </c>
    </row>
    <row r="415" spans="1:6">
      <c r="A415">
        <v>206.5</v>
      </c>
      <c r="B415">
        <v>1.706591880674853</v>
      </c>
      <c r="C415">
        <f>SUMPRODUCT(B$2:B$1025, COS(2*PI()*413*(ROW(B$2:B$1025)-1)/1024))</f>
        <v>6.8165175030057803</v>
      </c>
      <c r="D415">
        <f>SUMPRODUCT(B$2:B$1025, -SIN(2*PI()*413*(ROW(B$2:B$1025)-1)/1024))</f>
        <v>-0.84559336263406659</v>
      </c>
      <c r="E415">
        <f t="shared" si="13"/>
        <v>0.806640625</v>
      </c>
      <c r="F415">
        <f t="shared" si="12"/>
        <v>1.3415557547482911E-2</v>
      </c>
    </row>
    <row r="416" spans="1:6">
      <c r="A416">
        <v>207</v>
      </c>
      <c r="B416">
        <v>0.65424805468844116</v>
      </c>
      <c r="C416">
        <f>SUMPRODUCT(B$2:B$1025, COS(2*PI()*414*(ROW(B$2:B$1025)-1)/1024))</f>
        <v>0.88311716248348548</v>
      </c>
      <c r="D416">
        <f>SUMPRODUCT(B$2:B$1025, -SIN(2*PI()*414*(ROW(B$2:B$1025)-1)/1024))</f>
        <v>-0.10794597709938406</v>
      </c>
      <c r="E416">
        <f t="shared" si="13"/>
        <v>0.80859375</v>
      </c>
      <c r="F416">
        <f t="shared" si="12"/>
        <v>1.7376757379422793E-3</v>
      </c>
    </row>
    <row r="417" spans="1:6">
      <c r="A417">
        <v>207.5</v>
      </c>
      <c r="B417">
        <v>-0.64969730731132536</v>
      </c>
      <c r="C417">
        <f>SUMPRODUCT(B$2:B$1025, COS(2*PI()*415*(ROW(B$2:B$1025)-1)/1024))</f>
        <v>0.71747510333685616</v>
      </c>
      <c r="D417">
        <f>SUMPRODUCT(B$2:B$1025, -SIN(2*PI()*415*(ROW(B$2:B$1025)-1)/1024))</f>
        <v>-7.960996873518023</v>
      </c>
      <c r="E417">
        <f t="shared" si="13"/>
        <v>0.810546875</v>
      </c>
      <c r="F417">
        <f t="shared" si="12"/>
        <v>1.561184037440054E-2</v>
      </c>
    </row>
    <row r="418" spans="1:6">
      <c r="A418">
        <v>208</v>
      </c>
      <c r="B418">
        <v>-0.27755485718794459</v>
      </c>
      <c r="C418">
        <f>SUMPRODUCT(B$2:B$1025, COS(2*PI()*416*(ROW(B$2:B$1025)-1)/1024))</f>
        <v>1.4341563983911014</v>
      </c>
      <c r="D418">
        <f>SUMPRODUCT(B$2:B$1025, -SIN(2*PI()*416*(ROW(B$2:B$1025)-1)/1024))</f>
        <v>2.7584606073125149</v>
      </c>
      <c r="E418">
        <f t="shared" si="13"/>
        <v>0.8125</v>
      </c>
      <c r="F418">
        <f t="shared" si="12"/>
        <v>6.072274576180061E-3</v>
      </c>
    </row>
    <row r="419" spans="1:6">
      <c r="A419">
        <v>208.5</v>
      </c>
      <c r="B419">
        <v>-0.4279215894365711</v>
      </c>
      <c r="C419">
        <f>SUMPRODUCT(B$2:B$1025, COS(2*PI()*417*(ROW(B$2:B$1025)-1)/1024))</f>
        <v>-2.1497010948941577</v>
      </c>
      <c r="D419">
        <f>SUMPRODUCT(B$2:B$1025, -SIN(2*PI()*417*(ROW(B$2:B$1025)-1)/1024))</f>
        <v>2.5076189618481144</v>
      </c>
      <c r="E419">
        <f t="shared" si="13"/>
        <v>0.814453125</v>
      </c>
      <c r="F419">
        <f t="shared" si="12"/>
        <v>6.4510413860108624E-3</v>
      </c>
    </row>
    <row r="420" spans="1:6">
      <c r="A420">
        <v>209</v>
      </c>
      <c r="B420">
        <v>-0.71519707948239952</v>
      </c>
      <c r="C420">
        <f>SUMPRODUCT(B$2:B$1025, COS(2*PI()*418*(ROW(B$2:B$1025)-1)/1024))</f>
        <v>-0.20930540828681332</v>
      </c>
      <c r="D420">
        <f>SUMPRODUCT(B$2:B$1025, -SIN(2*PI()*418*(ROW(B$2:B$1025)-1)/1024))</f>
        <v>1.9239572977366834</v>
      </c>
      <c r="E420">
        <f t="shared" si="13"/>
        <v>0.81640625</v>
      </c>
      <c r="F420">
        <f t="shared" si="12"/>
        <v>3.7799001443643288E-3</v>
      </c>
    </row>
    <row r="421" spans="1:6">
      <c r="A421">
        <v>209.5</v>
      </c>
      <c r="B421">
        <v>-1.0742815560104739</v>
      </c>
      <c r="C421">
        <f>SUMPRODUCT(B$2:B$1025, COS(2*PI()*419*(ROW(B$2:B$1025)-1)/1024))</f>
        <v>-4.1213557651428285</v>
      </c>
      <c r="D421">
        <f>SUMPRODUCT(B$2:B$1025, -SIN(2*PI()*419*(ROW(B$2:B$1025)-1)/1024))</f>
        <v>-1.47573561602095</v>
      </c>
      <c r="E421">
        <f t="shared" si="13"/>
        <v>0.818359375</v>
      </c>
      <c r="F421">
        <f t="shared" si="12"/>
        <v>8.549997142605837E-3</v>
      </c>
    </row>
    <row r="422" spans="1:6">
      <c r="A422">
        <v>210</v>
      </c>
      <c r="B422">
        <v>0.41214958497640619</v>
      </c>
      <c r="C422">
        <f>SUMPRODUCT(B$2:B$1025, COS(2*PI()*420*(ROW(B$2:B$1025)-1)/1024))</f>
        <v>-1.1732464556310651</v>
      </c>
      <c r="D422">
        <f>SUMPRODUCT(B$2:B$1025, -SIN(2*PI()*420*(ROW(B$2:B$1025)-1)/1024))</f>
        <v>-0.99353954508576703</v>
      </c>
      <c r="E422">
        <f t="shared" si="13"/>
        <v>0.8203125</v>
      </c>
      <c r="F422">
        <f t="shared" si="12"/>
        <v>3.0027529948652688E-3</v>
      </c>
    </row>
    <row r="423" spans="1:6">
      <c r="A423">
        <v>210.5</v>
      </c>
      <c r="B423">
        <v>1.438853420781097</v>
      </c>
      <c r="C423">
        <f>SUMPRODUCT(B$2:B$1025, COS(2*PI()*421*(ROW(B$2:B$1025)-1)/1024))</f>
        <v>0.60152989081562858</v>
      </c>
      <c r="D423">
        <f>SUMPRODUCT(B$2:B$1025, -SIN(2*PI()*421*(ROW(B$2:B$1025)-1)/1024))</f>
        <v>-3.758498363506781</v>
      </c>
      <c r="E423">
        <f t="shared" si="13"/>
        <v>0.822265625</v>
      </c>
      <c r="F423">
        <f t="shared" si="12"/>
        <v>7.4342383041168768E-3</v>
      </c>
    </row>
    <row r="424" spans="1:6">
      <c r="A424">
        <v>211</v>
      </c>
      <c r="B424">
        <v>0.90126368659934275</v>
      </c>
      <c r="C424">
        <f>SUMPRODUCT(B$2:B$1025, COS(2*PI()*422*(ROW(B$2:B$1025)-1)/1024))</f>
        <v>3.7208617453283872</v>
      </c>
      <c r="D424">
        <f>SUMPRODUCT(B$2:B$1025, -SIN(2*PI()*422*(ROW(B$2:B$1025)-1)/1024))</f>
        <v>-1.3636829420449803</v>
      </c>
      <c r="E424">
        <f t="shared" si="13"/>
        <v>0.82421875</v>
      </c>
      <c r="F424">
        <f t="shared" si="12"/>
        <v>7.7400062592238774E-3</v>
      </c>
    </row>
    <row r="425" spans="1:6">
      <c r="A425">
        <v>211.5</v>
      </c>
      <c r="B425">
        <v>0.64537070648602901</v>
      </c>
      <c r="C425">
        <f>SUMPRODUCT(B$2:B$1025, COS(2*PI()*423*(ROW(B$2:B$1025)-1)/1024))</f>
        <v>1.8860448880813978</v>
      </c>
      <c r="D425">
        <f>SUMPRODUCT(B$2:B$1025, -SIN(2*PI()*423*(ROW(B$2:B$1025)-1)/1024))</f>
        <v>-4.8603597052089036</v>
      </c>
      <c r="E425">
        <f t="shared" si="13"/>
        <v>0.826171875</v>
      </c>
      <c r="F425">
        <f t="shared" si="12"/>
        <v>1.0182557159472506E-2</v>
      </c>
    </row>
    <row r="426" spans="1:6">
      <c r="A426">
        <v>212</v>
      </c>
      <c r="B426">
        <v>0.71686044220948208</v>
      </c>
      <c r="C426">
        <f>SUMPRODUCT(B$2:B$1025, COS(2*PI()*424*(ROW(B$2:B$1025)-1)/1024))</f>
        <v>0.22436825954832629</v>
      </c>
      <c r="D426">
        <f>SUMPRODUCT(B$2:B$1025, -SIN(2*PI()*424*(ROW(B$2:B$1025)-1)/1024))</f>
        <v>-2.3151540817992511</v>
      </c>
      <c r="E426">
        <f t="shared" si="13"/>
        <v>0.828125</v>
      </c>
      <c r="F426">
        <f t="shared" si="12"/>
        <v>4.5429702355690004E-3</v>
      </c>
    </row>
    <row r="427" spans="1:6">
      <c r="A427">
        <v>212.5</v>
      </c>
      <c r="B427">
        <v>0.77372631150647653</v>
      </c>
      <c r="C427">
        <f>SUMPRODUCT(B$2:B$1025, COS(2*PI()*425*(ROW(B$2:B$1025)-1)/1024))</f>
        <v>-9.6484235229145412</v>
      </c>
      <c r="D427">
        <f>SUMPRODUCT(B$2:B$1025, -SIN(2*PI()*425*(ROW(B$2:B$1025)-1)/1024))</f>
        <v>-3.17883413763002</v>
      </c>
      <c r="E427">
        <f t="shared" si="13"/>
        <v>0.830078125</v>
      </c>
      <c r="F427">
        <f t="shared" si="12"/>
        <v>1.9841006876262071E-2</v>
      </c>
    </row>
    <row r="428" spans="1:6">
      <c r="A428">
        <v>213</v>
      </c>
      <c r="B428">
        <v>-0.78076994440845715</v>
      </c>
      <c r="C428">
        <f>SUMPRODUCT(B$2:B$1025, COS(2*PI()*426*(ROW(B$2:B$1025)-1)/1024))</f>
        <v>5.4453148030367906</v>
      </c>
      <c r="D428">
        <f>SUMPRODUCT(B$2:B$1025, -SIN(2*PI()*426*(ROW(B$2:B$1025)-1)/1024))</f>
        <v>7.4568346119011348</v>
      </c>
      <c r="E428">
        <f t="shared" si="13"/>
        <v>0.83203125</v>
      </c>
      <c r="F428">
        <f t="shared" si="12"/>
        <v>1.8034001315593972E-2</v>
      </c>
    </row>
    <row r="429" spans="1:6">
      <c r="A429">
        <v>213.5</v>
      </c>
      <c r="B429">
        <v>-1.313846224295466</v>
      </c>
      <c r="C429">
        <f>SUMPRODUCT(B$2:B$1025, COS(2*PI()*427*(ROW(B$2:B$1025)-1)/1024))</f>
        <v>0.83441930957257504</v>
      </c>
      <c r="D429">
        <f>SUMPRODUCT(B$2:B$1025, -SIN(2*PI()*427*(ROW(B$2:B$1025)-1)/1024))</f>
        <v>5.2486376560677295</v>
      </c>
      <c r="E429">
        <f t="shared" si="13"/>
        <v>0.833984375</v>
      </c>
      <c r="F429">
        <f t="shared" si="12"/>
        <v>1.0379982513251252E-2</v>
      </c>
    </row>
    <row r="430" spans="1:6">
      <c r="A430">
        <v>214</v>
      </c>
      <c r="B430">
        <v>-0.73937161892526027</v>
      </c>
      <c r="C430">
        <f>SUMPRODUCT(B$2:B$1025, COS(2*PI()*428*(ROW(B$2:B$1025)-1)/1024))</f>
        <v>-0.85600304314107123</v>
      </c>
      <c r="D430">
        <f>SUMPRODUCT(B$2:B$1025, -SIN(2*PI()*428*(ROW(B$2:B$1025)-1)/1024))</f>
        <v>-2.2749854578050468</v>
      </c>
      <c r="E430">
        <f t="shared" si="13"/>
        <v>0.8359375</v>
      </c>
      <c r="F430">
        <f t="shared" si="12"/>
        <v>4.747459954425326E-3</v>
      </c>
    </row>
    <row r="431" spans="1:6">
      <c r="A431">
        <v>214.5</v>
      </c>
      <c r="B431">
        <v>-0.43953314957709022</v>
      </c>
      <c r="C431">
        <f>SUMPRODUCT(B$2:B$1025, COS(2*PI()*429*(ROW(B$2:B$1025)-1)/1024))</f>
        <v>-5.6654376523002927</v>
      </c>
      <c r="D431">
        <f>SUMPRODUCT(B$2:B$1025, -SIN(2*PI()*429*(ROW(B$2:B$1025)-1)/1024))</f>
        <v>12.931407065002357</v>
      </c>
      <c r="E431">
        <f t="shared" si="13"/>
        <v>0.837890625</v>
      </c>
      <c r="F431">
        <f t="shared" si="12"/>
        <v>2.7574256688638107E-2</v>
      </c>
    </row>
    <row r="432" spans="1:6">
      <c r="A432">
        <v>215</v>
      </c>
      <c r="B432">
        <v>-0.2366517025331506</v>
      </c>
      <c r="C432">
        <f>SUMPRODUCT(B$2:B$1025, COS(2*PI()*430*(ROW(B$2:B$1025)-1)/1024))</f>
        <v>-6.3244857795834086</v>
      </c>
      <c r="D432">
        <f>SUMPRODUCT(B$2:B$1025, -SIN(2*PI()*430*(ROW(B$2:B$1025)-1)/1024))</f>
        <v>0.61140596786844681</v>
      </c>
      <c r="E432">
        <f t="shared" si="13"/>
        <v>0.83984375</v>
      </c>
      <c r="F432">
        <f t="shared" si="12"/>
        <v>1.241009809777973E-2</v>
      </c>
    </row>
    <row r="433" spans="1:6">
      <c r="A433">
        <v>215.5</v>
      </c>
      <c r="B433">
        <v>-0.32006118325953542</v>
      </c>
      <c r="C433">
        <f>SUMPRODUCT(B$2:B$1025, COS(2*PI()*431*(ROW(B$2:B$1025)-1)/1024))</f>
        <v>6.4361675570481189</v>
      </c>
      <c r="D433">
        <f>SUMPRODUCT(B$2:B$1025, -SIN(2*PI()*431*(ROW(B$2:B$1025)-1)/1024))</f>
        <v>-4.514604678344182</v>
      </c>
      <c r="E433">
        <f t="shared" si="13"/>
        <v>0.841796875</v>
      </c>
      <c r="F433">
        <f t="shared" si="12"/>
        <v>1.5354830806688912E-2</v>
      </c>
    </row>
    <row r="434" spans="1:6">
      <c r="A434">
        <v>216</v>
      </c>
      <c r="B434">
        <v>0.89717514940621135</v>
      </c>
      <c r="C434">
        <f>SUMPRODUCT(B$2:B$1025, COS(2*PI()*432*(ROW(B$2:B$1025)-1)/1024))</f>
        <v>-1.656475597920902</v>
      </c>
      <c r="D434">
        <f>SUMPRODUCT(B$2:B$1025, -SIN(2*PI()*432*(ROW(B$2:B$1025)-1)/1024))</f>
        <v>0.95323018213404531</v>
      </c>
      <c r="E434">
        <f t="shared" si="13"/>
        <v>0.84375</v>
      </c>
      <c r="F434">
        <f t="shared" si="12"/>
        <v>3.7327479879847472E-3</v>
      </c>
    </row>
    <row r="435" spans="1:6">
      <c r="A435">
        <v>216.5</v>
      </c>
      <c r="B435">
        <v>1.5945649674543569</v>
      </c>
      <c r="C435">
        <f>SUMPRODUCT(B$2:B$1025, COS(2*PI()*433*(ROW(B$2:B$1025)-1)/1024))</f>
        <v>-0.80191837494136919</v>
      </c>
      <c r="D435">
        <f>SUMPRODUCT(B$2:B$1025, -SIN(2*PI()*433*(ROW(B$2:B$1025)-1)/1024))</f>
        <v>1.3917616003239557</v>
      </c>
      <c r="E435">
        <f t="shared" si="13"/>
        <v>0.845703125</v>
      </c>
      <c r="F435">
        <f t="shared" si="12"/>
        <v>3.1372279271585858E-3</v>
      </c>
    </row>
    <row r="436" spans="1:6">
      <c r="A436">
        <v>217</v>
      </c>
      <c r="B436">
        <v>0.88825666271171455</v>
      </c>
      <c r="C436">
        <f>SUMPRODUCT(B$2:B$1025, COS(2*PI()*434*(ROW(B$2:B$1025)-1)/1024))</f>
        <v>-7.4635942973509497</v>
      </c>
      <c r="D436">
        <f>SUMPRODUCT(B$2:B$1025, -SIN(2*PI()*434*(ROW(B$2:B$1025)-1)/1024))</f>
        <v>0.3632936277283208</v>
      </c>
      <c r="E436">
        <f t="shared" si="13"/>
        <v>0.84765625</v>
      </c>
      <c r="F436">
        <f t="shared" si="12"/>
        <v>1.4594591410773005E-2</v>
      </c>
    </row>
    <row r="437" spans="1:6">
      <c r="A437">
        <v>217.5</v>
      </c>
      <c r="B437">
        <v>-0.48518104391601652</v>
      </c>
      <c r="C437">
        <f>SUMPRODUCT(B$2:B$1025, COS(2*PI()*435*(ROW(B$2:B$1025)-1)/1024))</f>
        <v>2.2123931737604279</v>
      </c>
      <c r="D437">
        <f>SUMPRODUCT(B$2:B$1025, -SIN(2*PI()*435*(ROW(B$2:B$1025)-1)/1024))</f>
        <v>-6.7895349788375237</v>
      </c>
      <c r="E437">
        <f t="shared" si="13"/>
        <v>0.849609375</v>
      </c>
      <c r="F437">
        <f t="shared" si="12"/>
        <v>1.3947072497065586E-2</v>
      </c>
    </row>
    <row r="438" spans="1:6">
      <c r="A438">
        <v>218</v>
      </c>
      <c r="B438">
        <v>-0.26206214317825582</v>
      </c>
      <c r="C438">
        <f>SUMPRODUCT(B$2:B$1025, COS(2*PI()*436*(ROW(B$2:B$1025)-1)/1024))</f>
        <v>0.46240744810190404</v>
      </c>
      <c r="D438">
        <f>SUMPRODUCT(B$2:B$1025, -SIN(2*PI()*436*(ROW(B$2:B$1025)-1)/1024))</f>
        <v>-3.0396543848664264</v>
      </c>
      <c r="E438">
        <f t="shared" si="13"/>
        <v>0.8515625</v>
      </c>
      <c r="F438">
        <f t="shared" si="12"/>
        <v>6.0051271236465581E-3</v>
      </c>
    </row>
    <row r="439" spans="1:6">
      <c r="A439">
        <v>218.5</v>
      </c>
      <c r="B439">
        <v>-0.72707680793812535</v>
      </c>
      <c r="C439">
        <f>SUMPRODUCT(B$2:B$1025, COS(2*PI()*437*(ROW(B$2:B$1025)-1)/1024))</f>
        <v>-2.0130532232473808</v>
      </c>
      <c r="D439">
        <f>SUMPRODUCT(B$2:B$1025, -SIN(2*PI()*437*(ROW(B$2:B$1025)-1)/1024))</f>
        <v>5.452137990526019</v>
      </c>
      <c r="E439">
        <f t="shared" si="13"/>
        <v>0.853515625</v>
      </c>
      <c r="F439">
        <f t="shared" si="12"/>
        <v>1.1351368924467434E-2</v>
      </c>
    </row>
    <row r="440" spans="1:6">
      <c r="A440">
        <v>219</v>
      </c>
      <c r="B440">
        <v>-1.291733004166195</v>
      </c>
      <c r="C440">
        <f>SUMPRODUCT(B$2:B$1025, COS(2*PI()*438*(ROW(B$2:B$1025)-1)/1024))</f>
        <v>2.4383654088573365</v>
      </c>
      <c r="D440">
        <f>SUMPRODUCT(B$2:B$1025, -SIN(2*PI()*438*(ROW(B$2:B$1025)-1)/1024))</f>
        <v>-0.28255718480771336</v>
      </c>
      <c r="E440">
        <f t="shared" si="13"/>
        <v>0.85546875</v>
      </c>
      <c r="F440">
        <f t="shared" si="12"/>
        <v>4.7943010631866781E-3</v>
      </c>
    </row>
    <row r="441" spans="1:6">
      <c r="A441">
        <v>219.5</v>
      </c>
      <c r="B441">
        <v>-1.098894792071808</v>
      </c>
      <c r="C441">
        <f>SUMPRODUCT(B$2:B$1025, COS(2*PI()*439*(ROW(B$2:B$1025)-1)/1024))</f>
        <v>2.1948512087455656</v>
      </c>
      <c r="D441">
        <f>SUMPRODUCT(B$2:B$1025, -SIN(2*PI()*439*(ROW(B$2:B$1025)-1)/1024))</f>
        <v>6.1950449265452976</v>
      </c>
      <c r="E441">
        <f t="shared" si="13"/>
        <v>0.857421875</v>
      </c>
      <c r="F441">
        <f t="shared" si="12"/>
        <v>1.2836646197109936E-2</v>
      </c>
    </row>
    <row r="442" spans="1:6">
      <c r="A442">
        <v>220</v>
      </c>
      <c r="B442">
        <v>7.6813089787830108E-2</v>
      </c>
      <c r="C442">
        <f>SUMPRODUCT(B$2:B$1025, COS(2*PI()*440*(ROW(B$2:B$1025)-1)/1024))</f>
        <v>9.1095987980568029</v>
      </c>
      <c r="D442">
        <f>SUMPRODUCT(B$2:B$1025, -SIN(2*PI()*440*(ROW(B$2:B$1025)-1)/1024))</f>
        <v>1.7499024962851681</v>
      </c>
      <c r="E442">
        <f t="shared" si="13"/>
        <v>0.859375</v>
      </c>
      <c r="F442">
        <f t="shared" si="12"/>
        <v>1.8117479435518391E-2</v>
      </c>
    </row>
    <row r="443" spans="1:6">
      <c r="A443">
        <v>220.5</v>
      </c>
      <c r="B443">
        <v>1.081246302673649</v>
      </c>
      <c r="C443">
        <f>SUMPRODUCT(B$2:B$1025, COS(2*PI()*441*(ROW(B$2:B$1025)-1)/1024))</f>
        <v>3.590456211536261</v>
      </c>
      <c r="D443">
        <f>SUMPRODUCT(B$2:B$1025, -SIN(2*PI()*441*(ROW(B$2:B$1025)-1)/1024))</f>
        <v>4.0024652483365983</v>
      </c>
      <c r="E443">
        <f t="shared" si="13"/>
        <v>0.861328125</v>
      </c>
      <c r="F443">
        <f t="shared" si="12"/>
        <v>1.0501766941010028E-2</v>
      </c>
    </row>
    <row r="444" spans="1:6">
      <c r="A444">
        <v>221</v>
      </c>
      <c r="B444">
        <v>0.53756809628716584</v>
      </c>
      <c r="C444">
        <f>SUMPRODUCT(B$2:B$1025, COS(2*PI()*442*(ROW(B$2:B$1025)-1)/1024))</f>
        <v>7.5313320865991713</v>
      </c>
      <c r="D444">
        <f>SUMPRODUCT(B$2:B$1025, -SIN(2*PI()*442*(ROW(B$2:B$1025)-1)/1024))</f>
        <v>-0.32936053156601186</v>
      </c>
      <c r="E444">
        <f t="shared" si="13"/>
        <v>0.86328125</v>
      </c>
      <c r="F444">
        <f t="shared" si="12"/>
        <v>1.4723692286816274E-2</v>
      </c>
    </row>
    <row r="445" spans="1:6">
      <c r="A445">
        <v>221.5</v>
      </c>
      <c r="B445">
        <v>0.43323250839259603</v>
      </c>
      <c r="C445">
        <f>SUMPRODUCT(B$2:B$1025, COS(2*PI()*443*(ROW(B$2:B$1025)-1)/1024))</f>
        <v>6.9590431622001194</v>
      </c>
      <c r="D445">
        <f>SUMPRODUCT(B$2:B$1025, -SIN(2*PI()*443*(ROW(B$2:B$1025)-1)/1024))</f>
        <v>-8.7505046990703104</v>
      </c>
      <c r="E445">
        <f t="shared" si="13"/>
        <v>0.865234375</v>
      </c>
      <c r="F445">
        <f t="shared" si="12"/>
        <v>2.1836567646407727E-2</v>
      </c>
    </row>
    <row r="446" spans="1:6">
      <c r="A446">
        <v>222</v>
      </c>
      <c r="B446">
        <v>0.32689135219151988</v>
      </c>
      <c r="C446">
        <f>SUMPRODUCT(B$2:B$1025, COS(2*PI()*444*(ROW(B$2:B$1025)-1)/1024))</f>
        <v>5.6999299583399505</v>
      </c>
      <c r="D446">
        <f>SUMPRODUCT(B$2:B$1025, -SIN(2*PI()*444*(ROW(B$2:B$1025)-1)/1024))</f>
        <v>7.374070985735508</v>
      </c>
      <c r="E446">
        <f t="shared" si="13"/>
        <v>0.8671875</v>
      </c>
      <c r="F446">
        <f t="shared" si="12"/>
        <v>1.820351524702472E-2</v>
      </c>
    </row>
    <row r="447" spans="1:6">
      <c r="A447">
        <v>222.5</v>
      </c>
      <c r="B447">
        <v>0.63393450976600085</v>
      </c>
      <c r="C447">
        <f>SUMPRODUCT(B$2:B$1025, COS(2*PI()*445*(ROW(B$2:B$1025)-1)/1024))</f>
        <v>1.7666585690605499</v>
      </c>
      <c r="D447">
        <f>SUMPRODUCT(B$2:B$1025, -SIN(2*PI()*445*(ROW(B$2:B$1025)-1)/1024))</f>
        <v>3.6942647978494589</v>
      </c>
      <c r="E447">
        <f t="shared" si="13"/>
        <v>0.869140625</v>
      </c>
      <c r="F447">
        <f t="shared" si="12"/>
        <v>7.9979633829454239E-3</v>
      </c>
    </row>
    <row r="448" spans="1:6">
      <c r="A448">
        <v>223</v>
      </c>
      <c r="B448">
        <v>-0.51446560307308065</v>
      </c>
      <c r="C448">
        <f>SUMPRODUCT(B$2:B$1025, COS(2*PI()*446*(ROW(B$2:B$1025)-1)/1024))</f>
        <v>-5.2299960732352648</v>
      </c>
      <c r="D448">
        <f>SUMPRODUCT(B$2:B$1025, -SIN(2*PI()*446*(ROW(B$2:B$1025)-1)/1024))</f>
        <v>-8.8777501417082956</v>
      </c>
      <c r="E448">
        <f t="shared" si="13"/>
        <v>0.87109375</v>
      </c>
      <c r="F448">
        <f t="shared" si="12"/>
        <v>2.0124515741306422E-2</v>
      </c>
    </row>
    <row r="449" spans="1:6">
      <c r="A449">
        <v>223.5</v>
      </c>
      <c r="B449">
        <v>-1.639032473560629</v>
      </c>
      <c r="C449">
        <f>SUMPRODUCT(B$2:B$1025, COS(2*PI()*447*(ROW(B$2:B$1025)-1)/1024))</f>
        <v>2.6654068116196017</v>
      </c>
      <c r="D449">
        <f>SUMPRODUCT(B$2:B$1025, -SIN(2*PI()*447*(ROW(B$2:B$1025)-1)/1024))</f>
        <v>-1.873782695059472</v>
      </c>
      <c r="E449">
        <f t="shared" si="13"/>
        <v>0.873046875</v>
      </c>
      <c r="F449">
        <f t="shared" si="12"/>
        <v>6.363548333259258E-3</v>
      </c>
    </row>
    <row r="450" spans="1:6">
      <c r="A450">
        <v>224</v>
      </c>
      <c r="B450">
        <v>-1.05382989976251</v>
      </c>
      <c r="C450">
        <f>SUMPRODUCT(B$2:B$1025, COS(2*PI()*448*(ROW(B$2:B$1025)-1)/1024))</f>
        <v>-3.3100735702147195</v>
      </c>
      <c r="D450">
        <f>SUMPRODUCT(B$2:B$1025, -SIN(2*PI()*448*(ROW(B$2:B$1025)-1)/1024))</f>
        <v>6.2192078426634589</v>
      </c>
      <c r="E450">
        <f t="shared" si="13"/>
        <v>0.875</v>
      </c>
      <c r="F450">
        <f t="shared" si="12"/>
        <v>1.3760196474369372E-2</v>
      </c>
    </row>
    <row r="451" spans="1:6">
      <c r="A451">
        <v>224.5</v>
      </c>
      <c r="B451">
        <v>-0.29962795667029252</v>
      </c>
      <c r="C451">
        <f>SUMPRODUCT(B$2:B$1025, COS(2*PI()*449*(ROW(B$2:B$1025)-1)/1024))</f>
        <v>2.7058674322411824</v>
      </c>
      <c r="D451">
        <f>SUMPRODUCT(B$2:B$1025, -SIN(2*PI()*449*(ROW(B$2:B$1025)-1)/1024))</f>
        <v>-2.7563473587717868</v>
      </c>
      <c r="E451">
        <f t="shared" si="13"/>
        <v>0.876953125</v>
      </c>
      <c r="F451">
        <f t="shared" ref="F451:F513" si="14">SQRT(C451^2 + D451^2)/(1024/2)</f>
        <v>7.5440118254227291E-3</v>
      </c>
    </row>
    <row r="452" spans="1:6">
      <c r="A452">
        <v>225</v>
      </c>
      <c r="B452">
        <v>-1.253581945461919E-2</v>
      </c>
      <c r="C452">
        <f>SUMPRODUCT(B$2:B$1025, COS(2*PI()*450*(ROW(B$2:B$1025)-1)/1024))</f>
        <v>-0.31842346858408366</v>
      </c>
      <c r="D452">
        <f>SUMPRODUCT(B$2:B$1025, -SIN(2*PI()*450*(ROW(B$2:B$1025)-1)/1024))</f>
        <v>-10.637202214720588</v>
      </c>
      <c r="E452">
        <f t="shared" ref="E452:E513" si="15">(ROW()-2)*(2/1024)</f>
        <v>0.87890625</v>
      </c>
      <c r="F452">
        <f t="shared" si="14"/>
        <v>2.0785092056856223E-2</v>
      </c>
    </row>
    <row r="453" spans="1:6">
      <c r="A453">
        <v>225.5</v>
      </c>
      <c r="B453">
        <v>0.27881371639269747</v>
      </c>
      <c r="C453">
        <f>SUMPRODUCT(B$2:B$1025, COS(2*PI()*451*(ROW(B$2:B$1025)-1)/1024))</f>
        <v>-3.8752457296981784</v>
      </c>
      <c r="D453">
        <f>SUMPRODUCT(B$2:B$1025, -SIN(2*PI()*451*(ROW(B$2:B$1025)-1)/1024))</f>
        <v>-4.4841396613337796</v>
      </c>
      <c r="E453">
        <f t="shared" si="15"/>
        <v>0.880859375</v>
      </c>
      <c r="F453">
        <f t="shared" si="14"/>
        <v>1.1575464841253096E-2</v>
      </c>
    </row>
    <row r="454" spans="1:6">
      <c r="A454">
        <v>226</v>
      </c>
      <c r="B454">
        <v>0.75391130702802123</v>
      </c>
      <c r="C454">
        <f>SUMPRODUCT(B$2:B$1025, COS(2*PI()*452*(ROW(B$2:B$1025)-1)/1024))</f>
        <v>-6.8208411636810382</v>
      </c>
      <c r="D454">
        <f>SUMPRODUCT(B$2:B$1025, -SIN(2*PI()*452*(ROW(B$2:B$1025)-1)/1024))</f>
        <v>1.1558222912548408</v>
      </c>
      <c r="E454">
        <f t="shared" si="15"/>
        <v>0.8828125</v>
      </c>
      <c r="F454">
        <f t="shared" si="14"/>
        <v>1.3511870548169007E-2</v>
      </c>
    </row>
    <row r="455" spans="1:6">
      <c r="A455">
        <v>226.5</v>
      </c>
      <c r="B455">
        <v>1.5518658193987289</v>
      </c>
      <c r="C455">
        <f>SUMPRODUCT(B$2:B$1025, COS(2*PI()*453*(ROW(B$2:B$1025)-1)/1024))</f>
        <v>-1.4510666304375697</v>
      </c>
      <c r="D455">
        <f>SUMPRODUCT(B$2:B$1025, -SIN(2*PI()*453*(ROW(B$2:B$1025)-1)/1024))</f>
        <v>-2.1967858267466411</v>
      </c>
      <c r="E455">
        <f t="shared" si="15"/>
        <v>0.884765625</v>
      </c>
      <c r="F455">
        <f t="shared" si="14"/>
        <v>5.1421231426761228E-3</v>
      </c>
    </row>
    <row r="456" spans="1:6">
      <c r="A456">
        <v>227</v>
      </c>
      <c r="B456">
        <v>0.48173372861800662</v>
      </c>
      <c r="C456">
        <f>SUMPRODUCT(B$2:B$1025, COS(2*PI()*454*(ROW(B$2:B$1025)-1)/1024))</f>
        <v>-0.18716569012328854</v>
      </c>
      <c r="D456">
        <f>SUMPRODUCT(B$2:B$1025, -SIN(2*PI()*454*(ROW(B$2:B$1025)-1)/1024))</f>
        <v>-3.3808388835743686</v>
      </c>
      <c r="E456">
        <f t="shared" si="15"/>
        <v>0.88671875</v>
      </c>
      <c r="F456">
        <f t="shared" si="14"/>
        <v>6.6133119808587243E-3</v>
      </c>
    </row>
    <row r="457" spans="1:6">
      <c r="A457">
        <v>227.5</v>
      </c>
      <c r="B457">
        <v>-0.65857456645245405</v>
      </c>
      <c r="C457">
        <f>SUMPRODUCT(B$2:B$1025, COS(2*PI()*455*(ROW(B$2:B$1025)-1)/1024))</f>
        <v>2.550452943247957</v>
      </c>
      <c r="D457">
        <f>SUMPRODUCT(B$2:B$1025, -SIN(2*PI()*455*(ROW(B$2:B$1025)-1)/1024))</f>
        <v>1.7586931333471307</v>
      </c>
      <c r="E457">
        <f t="shared" si="15"/>
        <v>0.888671875</v>
      </c>
      <c r="F457">
        <f t="shared" si="14"/>
        <v>6.0508467382813296E-3</v>
      </c>
    </row>
    <row r="458" spans="1:6">
      <c r="A458">
        <v>228</v>
      </c>
      <c r="B458">
        <v>-0.60919132428343403</v>
      </c>
      <c r="C458">
        <f>SUMPRODUCT(B$2:B$1025, COS(2*PI()*456*(ROW(B$2:B$1025)-1)/1024))</f>
        <v>0.45508330427492444</v>
      </c>
      <c r="D458">
        <f>SUMPRODUCT(B$2:B$1025, -SIN(2*PI()*456*(ROW(B$2:B$1025)-1)/1024))</f>
        <v>8.0434719182196107E-2</v>
      </c>
      <c r="E458">
        <f t="shared" si="15"/>
        <v>0.890625</v>
      </c>
      <c r="F458">
        <f t="shared" si="14"/>
        <v>9.0261122481481791E-4</v>
      </c>
    </row>
    <row r="459" spans="1:6">
      <c r="A459">
        <v>228.5</v>
      </c>
      <c r="B459">
        <v>-0.65810498077902602</v>
      </c>
      <c r="C459">
        <f>SUMPRODUCT(B$2:B$1025, COS(2*PI()*457*(ROW(B$2:B$1025)-1)/1024))</f>
        <v>7.3254596308476376</v>
      </c>
      <c r="D459">
        <f>SUMPRODUCT(B$2:B$1025, -SIN(2*PI()*457*(ROW(B$2:B$1025)-1)/1024))</f>
        <v>-5.595753018832557</v>
      </c>
      <c r="E459">
        <f t="shared" si="15"/>
        <v>0.892578125</v>
      </c>
      <c r="F459">
        <f t="shared" si="14"/>
        <v>1.8004254437137601E-2</v>
      </c>
    </row>
    <row r="460" spans="1:6">
      <c r="A460">
        <v>229</v>
      </c>
      <c r="B460">
        <v>-1.0617863773645591</v>
      </c>
      <c r="C460">
        <f>SUMPRODUCT(B$2:B$1025, COS(2*PI()*458*(ROW(B$2:B$1025)-1)/1024))</f>
        <v>3.1833211703859434</v>
      </c>
      <c r="D460">
        <f>SUMPRODUCT(B$2:B$1025, -SIN(2*PI()*458*(ROW(B$2:B$1025)-1)/1024))</f>
        <v>2.2362128735387933E-2</v>
      </c>
      <c r="E460">
        <f t="shared" si="15"/>
        <v>0.89453125</v>
      </c>
      <c r="F460">
        <f t="shared" si="14"/>
        <v>6.2175775662631832E-3</v>
      </c>
    </row>
    <row r="461" spans="1:6">
      <c r="A461">
        <v>229.5</v>
      </c>
      <c r="B461">
        <v>-1.3273608308102429</v>
      </c>
      <c r="C461">
        <f>SUMPRODUCT(B$2:B$1025, COS(2*PI()*459*(ROW(B$2:B$1025)-1)/1024))</f>
        <v>4.639834164596385</v>
      </c>
      <c r="D461">
        <f>SUMPRODUCT(B$2:B$1025, -SIN(2*PI()*459*(ROW(B$2:B$1025)-1)/1024))</f>
        <v>0.35789336811653638</v>
      </c>
      <c r="E461">
        <f t="shared" si="15"/>
        <v>0.896484375</v>
      </c>
      <c r="F461">
        <f t="shared" si="14"/>
        <v>9.0890951900850052E-3</v>
      </c>
    </row>
    <row r="462" spans="1:6">
      <c r="A462">
        <v>230</v>
      </c>
      <c r="B462">
        <v>0.39294502658326319</v>
      </c>
      <c r="C462">
        <f>SUMPRODUCT(B$2:B$1025, COS(2*PI()*460*(ROW(B$2:B$1025)-1)/1024))</f>
        <v>-1.4867404715051822</v>
      </c>
      <c r="D462">
        <f>SUMPRODUCT(B$2:B$1025, -SIN(2*PI()*460*(ROW(B$2:B$1025)-1)/1024))</f>
        <v>-7.8585380132744787</v>
      </c>
      <c r="E462">
        <f t="shared" si="15"/>
        <v>0.8984375</v>
      </c>
      <c r="F462">
        <f t="shared" si="14"/>
        <v>1.5620973228156119E-2</v>
      </c>
    </row>
    <row r="463" spans="1:6">
      <c r="A463">
        <v>230.5</v>
      </c>
      <c r="B463">
        <v>1.0948379626868241</v>
      </c>
      <c r="C463">
        <f>SUMPRODUCT(B$2:B$1025, COS(2*PI()*461*(ROW(B$2:B$1025)-1)/1024))</f>
        <v>2.6698361919970628</v>
      </c>
      <c r="D463">
        <f>SUMPRODUCT(B$2:B$1025, -SIN(2*PI()*461*(ROW(B$2:B$1025)-1)/1024))</f>
        <v>6.117176167782489</v>
      </c>
      <c r="E463">
        <f t="shared" si="15"/>
        <v>0.900390625</v>
      </c>
      <c r="F463">
        <f t="shared" si="14"/>
        <v>1.3035974693099287E-2</v>
      </c>
    </row>
    <row r="464" spans="1:6">
      <c r="A464">
        <v>231</v>
      </c>
      <c r="B464">
        <v>0.81111141469662529</v>
      </c>
      <c r="C464">
        <f>SUMPRODUCT(B$2:B$1025, COS(2*PI()*462*(ROW(B$2:B$1025)-1)/1024))</f>
        <v>-10.056743971790004</v>
      </c>
      <c r="D464">
        <f>SUMPRODUCT(B$2:B$1025, -SIN(2*PI()*462*(ROW(B$2:B$1025)-1)/1024))</f>
        <v>-7.5650348093214701</v>
      </c>
      <c r="E464">
        <f t="shared" si="15"/>
        <v>0.90234375</v>
      </c>
      <c r="F464">
        <f t="shared" si="14"/>
        <v>2.457896271403176E-2</v>
      </c>
    </row>
    <row r="465" spans="1:6">
      <c r="A465">
        <v>231.5</v>
      </c>
      <c r="B465">
        <v>0.49385249844199391</v>
      </c>
      <c r="C465">
        <f>SUMPRODUCT(B$2:B$1025, COS(2*PI()*463*(ROW(B$2:B$1025)-1)/1024))</f>
        <v>0.58235299464412327</v>
      </c>
      <c r="D465">
        <f>SUMPRODUCT(B$2:B$1025, -SIN(2*PI()*463*(ROW(B$2:B$1025)-1)/1024))</f>
        <v>4.1023255458918468</v>
      </c>
      <c r="E465">
        <f t="shared" si="15"/>
        <v>0.904296875</v>
      </c>
      <c r="F465">
        <f t="shared" si="14"/>
        <v>8.0926833214671166E-3</v>
      </c>
    </row>
    <row r="466" spans="1:6">
      <c r="A466">
        <v>232</v>
      </c>
      <c r="B466">
        <v>0.56531964235431642</v>
      </c>
      <c r="C466">
        <f>SUMPRODUCT(B$2:B$1025, COS(2*PI()*464*(ROW(B$2:B$1025)-1)/1024))</f>
        <v>7.4031135438835549E-2</v>
      </c>
      <c r="D466">
        <f>SUMPRODUCT(B$2:B$1025, -SIN(2*PI()*464*(ROW(B$2:B$1025)-1)/1024))</f>
        <v>5.5437540393181575</v>
      </c>
      <c r="E466">
        <f t="shared" si="15"/>
        <v>0.90625</v>
      </c>
      <c r="F466">
        <f t="shared" si="14"/>
        <v>1.0828610004165339E-2</v>
      </c>
    </row>
    <row r="467" spans="1:6">
      <c r="A467">
        <v>232.5</v>
      </c>
      <c r="B467">
        <v>0.45580608009339157</v>
      </c>
      <c r="C467">
        <f>SUMPRODUCT(B$2:B$1025, COS(2*PI()*465*(ROW(B$2:B$1025)-1)/1024))</f>
        <v>3.9632298804187545</v>
      </c>
      <c r="D467">
        <f>SUMPRODUCT(B$2:B$1025, -SIN(2*PI()*465*(ROW(B$2:B$1025)-1)/1024))</f>
        <v>-7.5388310723779952</v>
      </c>
      <c r="E467">
        <f t="shared" si="15"/>
        <v>0.908203125</v>
      </c>
      <c r="F467">
        <f t="shared" si="14"/>
        <v>1.6634980729116979E-2</v>
      </c>
    </row>
    <row r="468" spans="1:6">
      <c r="A468">
        <v>233</v>
      </c>
      <c r="B468">
        <v>-0.46495191228377919</v>
      </c>
      <c r="C468">
        <f>SUMPRODUCT(B$2:B$1025, COS(2*PI()*466*(ROW(B$2:B$1025)-1)/1024))</f>
        <v>7.0475127252831715</v>
      </c>
      <c r="D468">
        <f>SUMPRODUCT(B$2:B$1025, -SIN(2*PI()*466*(ROW(B$2:B$1025)-1)/1024))</f>
        <v>4.8416768541396165</v>
      </c>
      <c r="E468">
        <f t="shared" si="15"/>
        <v>0.91015625</v>
      </c>
      <c r="F468">
        <f t="shared" si="14"/>
        <v>1.6699992029443944E-2</v>
      </c>
    </row>
    <row r="469" spans="1:6">
      <c r="A469">
        <v>233.5</v>
      </c>
      <c r="B469">
        <v>-1.299554974285684</v>
      </c>
      <c r="C469">
        <f>SUMPRODUCT(B$2:B$1025, COS(2*PI()*467*(ROW(B$2:B$1025)-1)/1024))</f>
        <v>8.2113625444052794</v>
      </c>
      <c r="D469">
        <f>SUMPRODUCT(B$2:B$1025, -SIN(2*PI()*467*(ROW(B$2:B$1025)-1)/1024))</f>
        <v>7.1991774295324937</v>
      </c>
      <c r="E469">
        <f t="shared" si="15"/>
        <v>0.912109375</v>
      </c>
      <c r="F469">
        <f t="shared" si="14"/>
        <v>2.1328861030822332E-2</v>
      </c>
    </row>
    <row r="470" spans="1:6">
      <c r="A470">
        <v>234</v>
      </c>
      <c r="B470">
        <v>-1.057156745817269</v>
      </c>
      <c r="C470">
        <f>SUMPRODUCT(B$2:B$1025, COS(2*PI()*468*(ROW(B$2:B$1025)-1)/1024))</f>
        <v>3.3269470146754334</v>
      </c>
      <c r="D470">
        <f>SUMPRODUCT(B$2:B$1025, -SIN(2*PI()*468*(ROW(B$2:B$1025)-1)/1024))</f>
        <v>4.9186746455222403</v>
      </c>
      <c r="E470">
        <f t="shared" si="15"/>
        <v>0.9140625</v>
      </c>
      <c r="F470">
        <f t="shared" si="14"/>
        <v>1.1598000411134946E-2</v>
      </c>
    </row>
    <row r="471" spans="1:6">
      <c r="A471">
        <v>234.5</v>
      </c>
      <c r="B471">
        <v>-0.2029489004214271</v>
      </c>
      <c r="C471">
        <f>SUMPRODUCT(B$2:B$1025, COS(2*PI()*469*(ROW(B$2:B$1025)-1)/1024))</f>
        <v>3.0118016622968868E-2</v>
      </c>
      <c r="D471">
        <f>SUMPRODUCT(B$2:B$1025, -SIN(2*PI()*469*(ROW(B$2:B$1025)-1)/1024))</f>
        <v>-3.9516094387426439</v>
      </c>
      <c r="E471">
        <f t="shared" si="15"/>
        <v>0.916015625</v>
      </c>
      <c r="F471">
        <f t="shared" si="14"/>
        <v>7.7182113524467645E-3</v>
      </c>
    </row>
    <row r="472" spans="1:6">
      <c r="A472">
        <v>235</v>
      </c>
      <c r="B472">
        <v>-5.5010339430302833E-2</v>
      </c>
      <c r="C472">
        <f>SUMPRODUCT(B$2:B$1025, COS(2*PI()*470*(ROW(B$2:B$1025)-1)/1024))</f>
        <v>-1.4954018887986296</v>
      </c>
      <c r="D472">
        <f>SUMPRODUCT(B$2:B$1025, -SIN(2*PI()*470*(ROW(B$2:B$1025)-1)/1024))</f>
        <v>2.157531917997634</v>
      </c>
      <c r="E472">
        <f t="shared" si="15"/>
        <v>0.91796875</v>
      </c>
      <c r="F472">
        <f t="shared" si="14"/>
        <v>5.1271561664412036E-3</v>
      </c>
    </row>
    <row r="473" spans="1:6">
      <c r="A473">
        <v>235.5</v>
      </c>
      <c r="B473">
        <v>-0.37259898065465602</v>
      </c>
      <c r="C473">
        <f>SUMPRODUCT(B$2:B$1025, COS(2*PI()*471*(ROW(B$2:B$1025)-1)/1024))</f>
        <v>1.6350805894144982</v>
      </c>
      <c r="D473">
        <f>SUMPRODUCT(B$2:B$1025, -SIN(2*PI()*471*(ROW(B$2:B$1025)-1)/1024))</f>
        <v>1.9789939036045088</v>
      </c>
      <c r="E473">
        <f t="shared" si="15"/>
        <v>0.919921875</v>
      </c>
      <c r="F473">
        <f t="shared" si="14"/>
        <v>5.0138302850047259E-3</v>
      </c>
    </row>
    <row r="474" spans="1:6">
      <c r="A474">
        <v>236</v>
      </c>
      <c r="B474">
        <v>0.64801830385540926</v>
      </c>
      <c r="C474">
        <f>SUMPRODUCT(B$2:B$1025, COS(2*PI()*472*(ROW(B$2:B$1025)-1)/1024))</f>
        <v>-3.4049107736907502</v>
      </c>
      <c r="D474">
        <f>SUMPRODUCT(B$2:B$1025, -SIN(2*PI()*472*(ROW(B$2:B$1025)-1)/1024))</f>
        <v>4.0380780027784366</v>
      </c>
      <c r="E474">
        <f t="shared" si="15"/>
        <v>0.921875</v>
      </c>
      <c r="F474">
        <f t="shared" si="14"/>
        <v>1.0316400210419243E-2</v>
      </c>
    </row>
    <row r="475" spans="1:6">
      <c r="A475">
        <v>236.5</v>
      </c>
      <c r="B475">
        <v>1.724431369784061</v>
      </c>
      <c r="C475">
        <f>SUMPRODUCT(B$2:B$1025, COS(2*PI()*473*(ROW(B$2:B$1025)-1)/1024))</f>
        <v>6.4253382554883434</v>
      </c>
      <c r="D475">
        <f>SUMPRODUCT(B$2:B$1025, -SIN(2*PI()*473*(ROW(B$2:B$1025)-1)/1024))</f>
        <v>2.7096897602474845</v>
      </c>
      <c r="E475">
        <f t="shared" si="15"/>
        <v>0.923828125</v>
      </c>
      <c r="F475">
        <f t="shared" si="14"/>
        <v>1.3619793419501145E-2</v>
      </c>
    </row>
    <row r="476" spans="1:6">
      <c r="A476">
        <v>237</v>
      </c>
      <c r="B476">
        <v>0.91677879499278347</v>
      </c>
      <c r="C476">
        <f>SUMPRODUCT(B$2:B$1025, COS(2*PI()*474*(ROW(B$2:B$1025)-1)/1024))</f>
        <v>-3.1578013998425374</v>
      </c>
      <c r="D476">
        <f>SUMPRODUCT(B$2:B$1025, -SIN(2*PI()*474*(ROW(B$2:B$1025)-1)/1024))</f>
        <v>-5.6967258095033939</v>
      </c>
      <c r="E476">
        <f t="shared" si="15"/>
        <v>0.92578125</v>
      </c>
      <c r="F476">
        <f t="shared" si="14"/>
        <v>1.2721486634390895E-2</v>
      </c>
    </row>
    <row r="477" spans="1:6">
      <c r="A477">
        <v>237.5</v>
      </c>
      <c r="B477">
        <v>-0.54980720791127469</v>
      </c>
      <c r="C477">
        <f>SUMPRODUCT(B$2:B$1025, COS(2*PI()*475*(ROW(B$2:B$1025)-1)/1024))</f>
        <v>1.9252893282266916</v>
      </c>
      <c r="D477">
        <f>SUMPRODUCT(B$2:B$1025, -SIN(2*PI()*475*(ROW(B$2:B$1025)-1)/1024))</f>
        <v>-7.1853717506923527</v>
      </c>
      <c r="E477">
        <f t="shared" si="15"/>
        <v>0.927734375</v>
      </c>
      <c r="F477">
        <f t="shared" si="14"/>
        <v>1.452897986523294E-2</v>
      </c>
    </row>
    <row r="478" spans="1:6">
      <c r="A478">
        <v>238</v>
      </c>
      <c r="B478">
        <v>-0.47247385968133121</v>
      </c>
      <c r="C478">
        <f>SUMPRODUCT(B$2:B$1025, COS(2*PI()*476*(ROW(B$2:B$1025)-1)/1024))</f>
        <v>3.0294027508602919</v>
      </c>
      <c r="D478">
        <f>SUMPRODUCT(B$2:B$1025, -SIN(2*PI()*476*(ROW(B$2:B$1025)-1)/1024))</f>
        <v>0.25926465507566382</v>
      </c>
      <c r="E478">
        <f t="shared" si="15"/>
        <v>0.9296875</v>
      </c>
      <c r="F478">
        <f t="shared" si="14"/>
        <v>5.9384312554451417E-3</v>
      </c>
    </row>
    <row r="479" spans="1:6">
      <c r="A479">
        <v>238.5</v>
      </c>
      <c r="B479">
        <v>-0.38880648538644819</v>
      </c>
      <c r="C479">
        <f>SUMPRODUCT(B$2:B$1025, COS(2*PI()*477*(ROW(B$2:B$1025)-1)/1024))</f>
        <v>6.9913538310138623</v>
      </c>
      <c r="D479">
        <f>SUMPRODUCT(B$2:B$1025, -SIN(2*PI()*477*(ROW(B$2:B$1025)-1)/1024))</f>
        <v>3.0786696757012324</v>
      </c>
      <c r="E479">
        <f t="shared" si="15"/>
        <v>0.931640625</v>
      </c>
      <c r="F479">
        <f t="shared" si="14"/>
        <v>1.4920294439682442E-2</v>
      </c>
    </row>
    <row r="480" spans="1:6">
      <c r="A480">
        <v>239</v>
      </c>
      <c r="B480">
        <v>-0.33528035460407413</v>
      </c>
      <c r="C480">
        <f>SUMPRODUCT(B$2:B$1025, COS(2*PI()*478*(ROW(B$2:B$1025)-1)/1024))</f>
        <v>6.0533431999989826</v>
      </c>
      <c r="D480">
        <f>SUMPRODUCT(B$2:B$1025, -SIN(2*PI()*478*(ROW(B$2:B$1025)-1)/1024))</f>
        <v>3.4370207668072936</v>
      </c>
      <c r="E480">
        <f t="shared" si="15"/>
        <v>0.93359375</v>
      </c>
      <c r="F480">
        <f t="shared" si="14"/>
        <v>1.359578093671035E-2</v>
      </c>
    </row>
    <row r="481" spans="1:6">
      <c r="A481">
        <v>239.5</v>
      </c>
      <c r="B481">
        <v>-0.86387027000554717</v>
      </c>
      <c r="C481">
        <f>SUMPRODUCT(B$2:B$1025, COS(2*PI()*479*(ROW(B$2:B$1025)-1)/1024))</f>
        <v>-3.3813125055139186</v>
      </c>
      <c r="D481">
        <f>SUMPRODUCT(B$2:B$1025, -SIN(2*PI()*479*(ROW(B$2:B$1025)-1)/1024))</f>
        <v>-1.2573669055927814</v>
      </c>
      <c r="E481">
        <f t="shared" si="15"/>
        <v>0.935546875</v>
      </c>
      <c r="F481">
        <f t="shared" si="14"/>
        <v>7.0459497478491586E-3</v>
      </c>
    </row>
    <row r="482" spans="1:6">
      <c r="A482">
        <v>240</v>
      </c>
      <c r="B482">
        <v>-2.5583518296208179E-2</v>
      </c>
      <c r="C482">
        <f>SUMPRODUCT(B$2:B$1025, COS(2*PI()*480*(ROW(B$2:B$1025)-1)/1024))</f>
        <v>0.258892477656813</v>
      </c>
      <c r="D482">
        <f>SUMPRODUCT(B$2:B$1025, -SIN(2*PI()*480*(ROW(B$2:B$1025)-1)/1024))</f>
        <v>5.0041436446289911</v>
      </c>
      <c r="E482">
        <f t="shared" si="15"/>
        <v>0.9375</v>
      </c>
      <c r="F482">
        <f t="shared" si="14"/>
        <v>9.7867893572074014E-3</v>
      </c>
    </row>
    <row r="483" spans="1:6">
      <c r="A483">
        <v>240.5</v>
      </c>
      <c r="B483">
        <v>0.89667716417235821</v>
      </c>
      <c r="C483">
        <f>SUMPRODUCT(B$2:B$1025, COS(2*PI()*481*(ROW(B$2:B$1025)-1)/1024))</f>
        <v>0.22080269968914779</v>
      </c>
      <c r="D483">
        <f>SUMPRODUCT(B$2:B$1025, -SIN(2*PI()*481*(ROW(B$2:B$1025)-1)/1024))</f>
        <v>3.0848711413974259</v>
      </c>
      <c r="E483">
        <f t="shared" si="15"/>
        <v>0.939453125</v>
      </c>
      <c r="F483">
        <f t="shared" si="14"/>
        <v>6.0405529923637635E-3</v>
      </c>
    </row>
    <row r="484" spans="1:6">
      <c r="A484">
        <v>241</v>
      </c>
      <c r="B484">
        <v>0.62976725224362928</v>
      </c>
      <c r="C484">
        <f>SUMPRODUCT(B$2:B$1025, COS(2*PI()*482*(ROW(B$2:B$1025)-1)/1024))</f>
        <v>4.6033054478250559</v>
      </c>
      <c r="D484">
        <f>SUMPRODUCT(B$2:B$1025, -SIN(2*PI()*482*(ROW(B$2:B$1025)-1)/1024))</f>
        <v>-0.32609177169009501</v>
      </c>
      <c r="E484">
        <f t="shared" si="15"/>
        <v>0.94140625</v>
      </c>
      <c r="F484">
        <f t="shared" si="14"/>
        <v>9.0133612084065482E-3</v>
      </c>
    </row>
    <row r="485" spans="1:6">
      <c r="A485">
        <v>241.5</v>
      </c>
      <c r="B485">
        <v>0.49174924346860738</v>
      </c>
      <c r="C485">
        <f>SUMPRODUCT(B$2:B$1025, COS(2*PI()*483*(ROW(B$2:B$1025)-1)/1024))</f>
        <v>8.6790755688155148</v>
      </c>
      <c r="D485">
        <f>SUMPRODUCT(B$2:B$1025, -SIN(2*PI()*483*(ROW(B$2:B$1025)-1)/1024))</f>
        <v>3.1268139044454366</v>
      </c>
      <c r="E485">
        <f t="shared" si="15"/>
        <v>0.943359375</v>
      </c>
      <c r="F485">
        <f t="shared" si="14"/>
        <v>1.8017863196661196E-2</v>
      </c>
    </row>
    <row r="486" spans="1:6">
      <c r="A486">
        <v>242</v>
      </c>
      <c r="B486">
        <v>0.4365151032356136</v>
      </c>
      <c r="C486">
        <f>SUMPRODUCT(B$2:B$1025, COS(2*PI()*484*(ROW(B$2:B$1025)-1)/1024))</f>
        <v>0.6457933143893767</v>
      </c>
      <c r="D486">
        <f>SUMPRODUCT(B$2:B$1025, -SIN(2*PI()*484*(ROW(B$2:B$1025)-1)/1024))</f>
        <v>-4.7020566293973332</v>
      </c>
      <c r="E486">
        <f t="shared" si="15"/>
        <v>0.9453125</v>
      </c>
      <c r="F486">
        <f t="shared" si="14"/>
        <v>9.2699159308861894E-3</v>
      </c>
    </row>
    <row r="487" spans="1:6">
      <c r="A487">
        <v>242.5</v>
      </c>
      <c r="B487">
        <v>0.21554925808048761</v>
      </c>
      <c r="C487">
        <f>SUMPRODUCT(B$2:B$1025, COS(2*PI()*485*(ROW(B$2:B$1025)-1)/1024))</f>
        <v>1.2973161396251187</v>
      </c>
      <c r="D487">
        <f>SUMPRODUCT(B$2:B$1025, -SIN(2*PI()*485*(ROW(B$2:B$1025)-1)/1024))</f>
        <v>-4.2715105630126988</v>
      </c>
      <c r="E487">
        <f t="shared" si="15"/>
        <v>0.947265625</v>
      </c>
      <c r="F487">
        <f t="shared" si="14"/>
        <v>8.7190859397918759E-3</v>
      </c>
    </row>
    <row r="488" spans="1:6">
      <c r="A488">
        <v>243</v>
      </c>
      <c r="B488">
        <v>-0.71709982914098369</v>
      </c>
      <c r="C488">
        <f>SUMPRODUCT(B$2:B$1025, COS(2*PI()*486*(ROW(B$2:B$1025)-1)/1024))</f>
        <v>3.2490309975873854</v>
      </c>
      <c r="D488">
        <f>SUMPRODUCT(B$2:B$1025, -SIN(2*PI()*486*(ROW(B$2:B$1025)-1)/1024))</f>
        <v>7.326186587956939</v>
      </c>
      <c r="E488">
        <f t="shared" si="15"/>
        <v>0.94921875</v>
      </c>
      <c r="F488">
        <f t="shared" si="14"/>
        <v>1.5652955015112106E-2</v>
      </c>
    </row>
    <row r="489" spans="1:6">
      <c r="A489">
        <v>243.5</v>
      </c>
      <c r="B489">
        <v>-1.6673661170180281</v>
      </c>
      <c r="C489">
        <f>SUMPRODUCT(B$2:B$1025, COS(2*PI()*487*(ROW(B$2:B$1025)-1)/1024))</f>
        <v>-4.1061545254627969</v>
      </c>
      <c r="D489">
        <f>SUMPRODUCT(B$2:B$1025, -SIN(2*PI()*487*(ROW(B$2:B$1025)-1)/1024))</f>
        <v>3.8361597226810913</v>
      </c>
      <c r="E489">
        <f t="shared" si="15"/>
        <v>0.951171875</v>
      </c>
      <c r="F489">
        <f t="shared" si="14"/>
        <v>1.0975211633696703E-2</v>
      </c>
    </row>
    <row r="490" spans="1:6">
      <c r="A490">
        <v>244</v>
      </c>
      <c r="B490">
        <v>-0.61362818928064344</v>
      </c>
      <c r="C490">
        <f>SUMPRODUCT(B$2:B$1025, COS(2*PI()*488*(ROW(B$2:B$1025)-1)/1024))</f>
        <v>-2.7223295083565091</v>
      </c>
      <c r="D490">
        <f>SUMPRODUCT(B$2:B$1025, -SIN(2*PI()*488*(ROW(B$2:B$1025)-1)/1024))</f>
        <v>2.1281637551750365</v>
      </c>
      <c r="E490">
        <f t="shared" si="15"/>
        <v>0.953125</v>
      </c>
      <c r="F490">
        <f t="shared" si="14"/>
        <v>6.748932625735767E-3</v>
      </c>
    </row>
    <row r="491" spans="1:6">
      <c r="A491">
        <v>244.5</v>
      </c>
      <c r="B491">
        <v>8.8542699097410082E-2</v>
      </c>
      <c r="C491">
        <f>SUMPRODUCT(B$2:B$1025, COS(2*PI()*489*(ROW(B$2:B$1025)-1)/1024))</f>
        <v>4.3184298658467526</v>
      </c>
      <c r="D491">
        <f>SUMPRODUCT(B$2:B$1025, -SIN(2*PI()*489*(ROW(B$2:B$1025)-1)/1024))</f>
        <v>-0.33609817442998924</v>
      </c>
      <c r="E491">
        <f t="shared" si="15"/>
        <v>0.955078125</v>
      </c>
      <c r="F491">
        <f t="shared" si="14"/>
        <v>8.4599397985179511E-3</v>
      </c>
    </row>
    <row r="492" spans="1:6">
      <c r="A492">
        <v>245</v>
      </c>
      <c r="B492">
        <v>-1.594528263343567E-3</v>
      </c>
      <c r="C492">
        <f>SUMPRODUCT(B$2:B$1025, COS(2*PI()*490*(ROW(B$2:B$1025)-1)/1024))</f>
        <v>-6.1826622596482164</v>
      </c>
      <c r="D492">
        <f>SUMPRODUCT(B$2:B$1025, -SIN(2*PI()*490*(ROW(B$2:B$1025)-1)/1024))</f>
        <v>3.0511349699013484</v>
      </c>
      <c r="E492">
        <f t="shared" si="15"/>
        <v>0.95703125</v>
      </c>
      <c r="F492">
        <f t="shared" si="14"/>
        <v>1.3465906285906066E-2</v>
      </c>
    </row>
    <row r="493" spans="1:6">
      <c r="A493">
        <v>245.5</v>
      </c>
      <c r="B493">
        <v>0.38377408007047731</v>
      </c>
      <c r="C493">
        <f>SUMPRODUCT(B$2:B$1025, COS(2*PI()*491*(ROW(B$2:B$1025)-1)/1024))</f>
        <v>-0.47399294453537077</v>
      </c>
      <c r="D493">
        <f>SUMPRODUCT(B$2:B$1025, -SIN(2*PI()*491*(ROW(B$2:B$1025)-1)/1024))</f>
        <v>1.3924522264088623</v>
      </c>
      <c r="E493">
        <f t="shared" si="15"/>
        <v>0.958984375</v>
      </c>
      <c r="F493">
        <f t="shared" si="14"/>
        <v>2.8728819064187286E-3</v>
      </c>
    </row>
    <row r="494" spans="1:6">
      <c r="A494">
        <v>246</v>
      </c>
      <c r="B494">
        <v>0.96653017782465045</v>
      </c>
      <c r="C494">
        <f>SUMPRODUCT(B$2:B$1025, COS(2*PI()*492*(ROW(B$2:B$1025)-1)/1024))</f>
        <v>3.1269990629107673</v>
      </c>
      <c r="D494">
        <f>SUMPRODUCT(B$2:B$1025, -SIN(2*PI()*492*(ROW(B$2:B$1025)-1)/1024))</f>
        <v>-6.2982165695005383</v>
      </c>
      <c r="E494">
        <f t="shared" si="15"/>
        <v>0.9609375</v>
      </c>
      <c r="F494">
        <f t="shared" si="14"/>
        <v>1.3733907138571068E-2</v>
      </c>
    </row>
    <row r="495" spans="1:6">
      <c r="A495">
        <v>246.5</v>
      </c>
      <c r="B495">
        <v>1.2787996760294991</v>
      </c>
      <c r="C495">
        <f>SUMPRODUCT(B$2:B$1025, COS(2*PI()*493*(ROW(B$2:B$1025)-1)/1024))</f>
        <v>-3.7707611315351124</v>
      </c>
      <c r="D495">
        <f>SUMPRODUCT(B$2:B$1025, -SIN(2*PI()*493*(ROW(B$2:B$1025)-1)/1024))</f>
        <v>1.2961786616139799</v>
      </c>
      <c r="E495">
        <f t="shared" si="15"/>
        <v>0.962890625</v>
      </c>
      <c r="F495">
        <f t="shared" si="14"/>
        <v>7.7877338488005262E-3</v>
      </c>
    </row>
    <row r="496" spans="1:6">
      <c r="A496">
        <v>247</v>
      </c>
      <c r="B496">
        <v>0.89241006774644416</v>
      </c>
      <c r="C496">
        <f>SUMPRODUCT(B$2:B$1025, COS(2*PI()*494*(ROW(B$2:B$1025)-1)/1024))</f>
        <v>5.4333811374307857</v>
      </c>
      <c r="D496">
        <f>SUMPRODUCT(B$2:B$1025, -SIN(2*PI()*494*(ROW(B$2:B$1025)-1)/1024))</f>
        <v>3.2158544689943573</v>
      </c>
      <c r="E496">
        <f t="shared" si="15"/>
        <v>0.96484375</v>
      </c>
      <c r="F496">
        <f t="shared" si="14"/>
        <v>1.2331529278359253E-2</v>
      </c>
    </row>
    <row r="497" spans="1:6">
      <c r="A497">
        <v>247.5</v>
      </c>
      <c r="B497">
        <v>-0.39221799126308088</v>
      </c>
      <c r="C497">
        <f>SUMPRODUCT(B$2:B$1025, COS(2*PI()*495*(ROW(B$2:B$1025)-1)/1024))</f>
        <v>-0.69744076001005451</v>
      </c>
      <c r="D497">
        <f>SUMPRODUCT(B$2:B$1025, -SIN(2*PI()*495*(ROW(B$2:B$1025)-1)/1024))</f>
        <v>0.68440210278025482</v>
      </c>
      <c r="E497">
        <f t="shared" si="15"/>
        <v>0.966796875</v>
      </c>
      <c r="F497">
        <f t="shared" si="14"/>
        <v>1.9085038186005237E-3</v>
      </c>
    </row>
    <row r="498" spans="1:6">
      <c r="A498">
        <v>248</v>
      </c>
      <c r="B498">
        <v>-0.795234483157784</v>
      </c>
      <c r="C498">
        <f>SUMPRODUCT(B$2:B$1025, COS(2*PI()*496*(ROW(B$2:B$1025)-1)/1024))</f>
        <v>11.546646030029061</v>
      </c>
      <c r="D498">
        <f>SUMPRODUCT(B$2:B$1025, -SIN(2*PI()*496*(ROW(B$2:B$1025)-1)/1024))</f>
        <v>2.403523539621744</v>
      </c>
      <c r="E498">
        <f t="shared" si="15"/>
        <v>0.96875</v>
      </c>
      <c r="F498">
        <f t="shared" si="14"/>
        <v>2.3035448036838026E-2</v>
      </c>
    </row>
    <row r="499" spans="1:6">
      <c r="A499">
        <v>248.5</v>
      </c>
      <c r="B499">
        <v>-0.48912425191186382</v>
      </c>
      <c r="C499">
        <f>SUMPRODUCT(B$2:B$1025, COS(2*PI()*497*(ROW(B$2:B$1025)-1)/1024))</f>
        <v>1.0635289818723188</v>
      </c>
      <c r="D499">
        <f>SUMPRODUCT(B$2:B$1025, -SIN(2*PI()*497*(ROW(B$2:B$1025)-1)/1024))</f>
        <v>1.2605004399496642</v>
      </c>
      <c r="E499">
        <f t="shared" si="15"/>
        <v>0.970703125</v>
      </c>
      <c r="F499">
        <f t="shared" si="14"/>
        <v>3.2211497747800404E-3</v>
      </c>
    </row>
    <row r="500" spans="1:6">
      <c r="A500">
        <v>249</v>
      </c>
      <c r="B500">
        <v>-1.1261801669720719</v>
      </c>
      <c r="C500">
        <f>SUMPRODUCT(B$2:B$1025, COS(2*PI()*498*(ROW(B$2:B$1025)-1)/1024))</f>
        <v>-2.4183268437547767</v>
      </c>
      <c r="D500">
        <f>SUMPRODUCT(B$2:B$1025, -SIN(2*PI()*498*(ROW(B$2:B$1025)-1)/1024))</f>
        <v>1.0609819985443871</v>
      </c>
      <c r="E500">
        <f t="shared" si="15"/>
        <v>0.97265625</v>
      </c>
      <c r="F500">
        <f t="shared" si="14"/>
        <v>5.1578727339922923E-3</v>
      </c>
    </row>
    <row r="501" spans="1:6">
      <c r="A501">
        <v>249.5</v>
      </c>
      <c r="B501">
        <v>-1.364345198485365</v>
      </c>
      <c r="C501">
        <f>SUMPRODUCT(B$2:B$1025, COS(2*PI()*499*(ROW(B$2:B$1025)-1)/1024))</f>
        <v>6.7366499774150732</v>
      </c>
      <c r="D501">
        <f>SUMPRODUCT(B$2:B$1025, -SIN(2*PI()*499*(ROW(B$2:B$1025)-1)/1024))</f>
        <v>2.0756279801386035</v>
      </c>
      <c r="E501">
        <f t="shared" si="15"/>
        <v>0.974609375</v>
      </c>
      <c r="F501">
        <f t="shared" si="14"/>
        <v>1.376789446584672E-2</v>
      </c>
    </row>
    <row r="502" spans="1:6">
      <c r="A502">
        <v>250</v>
      </c>
      <c r="B502">
        <v>0.18523550950629011</v>
      </c>
      <c r="C502">
        <f>SUMPRODUCT(B$2:B$1025, COS(2*PI()*500*(ROW(B$2:B$1025)-1)/1024))</f>
        <v>5.2861578841960757</v>
      </c>
      <c r="D502">
        <f>SUMPRODUCT(B$2:B$1025, -SIN(2*PI()*500*(ROW(B$2:B$1025)-1)/1024))</f>
        <v>-1.5688704774722466</v>
      </c>
      <c r="E502">
        <f t="shared" si="15"/>
        <v>0.9765625</v>
      </c>
      <c r="F502">
        <f t="shared" si="14"/>
        <v>1.0769641719609539E-2</v>
      </c>
    </row>
    <row r="503" spans="1:6">
      <c r="A503">
        <v>250.5</v>
      </c>
      <c r="B503">
        <v>1.4696685803864811</v>
      </c>
      <c r="C503">
        <f>SUMPRODUCT(B$2:B$1025, COS(2*PI()*501*(ROW(B$2:B$1025)-1)/1024))</f>
        <v>-5.2856152491884121</v>
      </c>
      <c r="D503">
        <f>SUMPRODUCT(B$2:B$1025, -SIN(2*PI()*501*(ROW(B$2:B$1025)-1)/1024))</f>
        <v>4.9733193830240729</v>
      </c>
      <c r="E503">
        <f t="shared" si="15"/>
        <v>0.978515625</v>
      </c>
      <c r="F503">
        <f t="shared" si="14"/>
        <v>1.4174848822541523E-2</v>
      </c>
    </row>
    <row r="504" spans="1:6">
      <c r="A504">
        <v>251</v>
      </c>
      <c r="B504">
        <v>0.67134300153131665</v>
      </c>
      <c r="C504">
        <f>SUMPRODUCT(B$2:B$1025, COS(2*PI()*502*(ROW(B$2:B$1025)-1)/1024))</f>
        <v>-8.6205820028745994E-2</v>
      </c>
      <c r="D504">
        <f>SUMPRODUCT(B$2:B$1025, -SIN(2*PI()*502*(ROW(B$2:B$1025)-1)/1024))</f>
        <v>2.6477641706937676</v>
      </c>
      <c r="E504">
        <f t="shared" si="15"/>
        <v>0.98046875</v>
      </c>
      <c r="F504">
        <f t="shared" si="14"/>
        <v>5.1741545745003963E-3</v>
      </c>
    </row>
    <row r="505" spans="1:6">
      <c r="A505">
        <v>251.5</v>
      </c>
      <c r="B505">
        <v>0.56365036363327281</v>
      </c>
      <c r="C505">
        <f>SUMPRODUCT(B$2:B$1025, COS(2*PI()*503*(ROW(B$2:B$1025)-1)/1024))</f>
        <v>-3.1264108180603229</v>
      </c>
      <c r="D505">
        <f>SUMPRODUCT(B$2:B$1025, -SIN(2*PI()*503*(ROW(B$2:B$1025)-1)/1024))</f>
        <v>0.55344563354551446</v>
      </c>
      <c r="E505">
        <f t="shared" si="15"/>
        <v>0.982421875</v>
      </c>
      <c r="F505">
        <f t="shared" si="14"/>
        <v>6.2012092987844703E-3</v>
      </c>
    </row>
    <row r="506" spans="1:6">
      <c r="A506">
        <v>252</v>
      </c>
      <c r="B506">
        <v>0.45765673846814658</v>
      </c>
      <c r="C506">
        <f>SUMPRODUCT(B$2:B$1025, COS(2*PI()*504*(ROW(B$2:B$1025)-1)/1024))</f>
        <v>-1.5339961986283375</v>
      </c>
      <c r="D506">
        <f>SUMPRODUCT(B$2:B$1025, -SIN(2*PI()*504*(ROW(B$2:B$1025)-1)/1024))</f>
        <v>-0.21554422788556687</v>
      </c>
      <c r="E506">
        <f t="shared" si="15"/>
        <v>0.984375</v>
      </c>
      <c r="F506">
        <f t="shared" si="14"/>
        <v>3.025518383396424E-3</v>
      </c>
    </row>
    <row r="507" spans="1:6">
      <c r="A507">
        <v>252.5</v>
      </c>
      <c r="B507">
        <v>0.40257492324706962</v>
      </c>
      <c r="C507">
        <f>SUMPRODUCT(B$2:B$1025, COS(2*PI()*505*(ROW(B$2:B$1025)-1)/1024))</f>
        <v>-1.665563217422779</v>
      </c>
      <c r="D507">
        <f>SUMPRODUCT(B$2:B$1025, -SIN(2*PI()*505*(ROW(B$2:B$1025)-1)/1024))</f>
        <v>-1.1315518466504666</v>
      </c>
      <c r="E507">
        <f t="shared" si="15"/>
        <v>0.986328125</v>
      </c>
      <c r="F507">
        <f t="shared" si="14"/>
        <v>3.9327763457256007E-3</v>
      </c>
    </row>
    <row r="508" spans="1:6">
      <c r="A508">
        <v>253</v>
      </c>
      <c r="B508">
        <v>-0.70626403714022012</v>
      </c>
      <c r="C508">
        <f>SUMPRODUCT(B$2:B$1025, COS(2*PI()*506*(ROW(B$2:B$1025)-1)/1024))</f>
        <v>2.2537710262137405</v>
      </c>
      <c r="D508">
        <f>SUMPRODUCT(B$2:B$1025, -SIN(2*PI()*506*(ROW(B$2:B$1025)-1)/1024))</f>
        <v>6.9455237082704659</v>
      </c>
      <c r="E508">
        <f t="shared" si="15"/>
        <v>0.98828125</v>
      </c>
      <c r="F508">
        <f t="shared" si="14"/>
        <v>1.42617962409664E-2</v>
      </c>
    </row>
    <row r="509" spans="1:6">
      <c r="A509">
        <v>253.5</v>
      </c>
      <c r="B509">
        <v>-1.6238546702311161</v>
      </c>
      <c r="C509">
        <f>SUMPRODUCT(B$2:B$1025, COS(2*PI()*507*(ROW(B$2:B$1025)-1)/1024))</f>
        <v>-0.9578650328820526</v>
      </c>
      <c r="D509">
        <f>SUMPRODUCT(B$2:B$1025, -SIN(2*PI()*507*(ROW(B$2:B$1025)-1)/1024))</f>
        <v>2.9305039895219975</v>
      </c>
      <c r="E509">
        <f t="shared" si="15"/>
        <v>0.990234375</v>
      </c>
      <c r="F509">
        <f t="shared" si="14"/>
        <v>6.0216332660998585E-3</v>
      </c>
    </row>
    <row r="510" spans="1:6">
      <c r="A510">
        <v>254</v>
      </c>
      <c r="B510">
        <v>-0.94135219070620135</v>
      </c>
      <c r="C510">
        <f>SUMPRODUCT(B$2:B$1025, COS(2*PI()*508*(ROW(B$2:B$1025)-1)/1024))</f>
        <v>-8.492600523041494</v>
      </c>
      <c r="D510">
        <f>SUMPRODUCT(B$2:B$1025, -SIN(2*PI()*508*(ROW(B$2:B$1025)-1)/1024))</f>
        <v>-7.0765994768237279</v>
      </c>
      <c r="E510">
        <f t="shared" si="15"/>
        <v>0.9921875</v>
      </c>
      <c r="F510">
        <f t="shared" si="14"/>
        <v>2.1590869213392989E-2</v>
      </c>
    </row>
    <row r="511" spans="1:6">
      <c r="A511">
        <v>254.5</v>
      </c>
      <c r="B511">
        <v>-0.25397527557467642</v>
      </c>
      <c r="C511">
        <f>SUMPRODUCT(B$2:B$1025, COS(2*PI()*509*(ROW(B$2:B$1025)-1)/1024))</f>
        <v>-1.3482408587193677</v>
      </c>
      <c r="D511">
        <f>SUMPRODUCT(B$2:B$1025, -SIN(2*PI()*509*(ROW(B$2:B$1025)-1)/1024))</f>
        <v>2.7739726814255126</v>
      </c>
      <c r="E511">
        <f t="shared" si="15"/>
        <v>0.994140625</v>
      </c>
      <c r="F511">
        <f t="shared" si="14"/>
        <v>6.0239510443521266E-3</v>
      </c>
    </row>
    <row r="512" spans="1:6">
      <c r="A512">
        <v>255</v>
      </c>
      <c r="B512">
        <v>5.4091365155958457E-2</v>
      </c>
      <c r="C512">
        <f>SUMPRODUCT(B$2:B$1025, COS(2*PI()*510*(ROW(B$2:B$1025)-1)/1024))</f>
        <v>-1.3111921952166568</v>
      </c>
      <c r="D512">
        <f>SUMPRODUCT(B$2:B$1025, -SIN(2*PI()*510*(ROW(B$2:B$1025)-1)/1024))</f>
        <v>5.7476200047412753</v>
      </c>
      <c r="E512">
        <f t="shared" si="15"/>
        <v>0.99609375</v>
      </c>
      <c r="F512">
        <f t="shared" si="14"/>
        <v>1.1514224450616282E-2</v>
      </c>
    </row>
    <row r="513" spans="1:6">
      <c r="A513">
        <v>255.5</v>
      </c>
      <c r="B513">
        <v>7.7737630402655855E-2</v>
      </c>
      <c r="C513">
        <f>SUMPRODUCT(B$2:B$1025, COS(2*PI()*511*(ROW(B$2:B$1025)-1)/1024))</f>
        <v>2.1761609933731378</v>
      </c>
      <c r="D513">
        <f>SUMPRODUCT(B$2:B$1025, -SIN(2*PI()*511*(ROW(B$2:B$1025)-1)/1024))</f>
        <v>-2.0308137611352248</v>
      </c>
      <c r="E513">
        <f t="shared" si="15"/>
        <v>0.998046875</v>
      </c>
      <c r="F513">
        <f t="shared" si="14"/>
        <v>5.8135844874831885E-3</v>
      </c>
    </row>
    <row r="514" spans="1:6">
      <c r="A514">
        <v>256</v>
      </c>
      <c r="B514">
        <v>0.90326690692185208</v>
      </c>
    </row>
    <row r="515" spans="1:6">
      <c r="A515">
        <v>256.5</v>
      </c>
      <c r="B515">
        <v>1.269543783886846</v>
      </c>
    </row>
    <row r="516" spans="1:6">
      <c r="A516">
        <v>257</v>
      </c>
      <c r="B516">
        <v>0.47243098617883211</v>
      </c>
    </row>
    <row r="517" spans="1:6">
      <c r="A517">
        <v>257.5</v>
      </c>
      <c r="B517">
        <v>-0.34892175483481841</v>
      </c>
    </row>
    <row r="518" spans="1:6">
      <c r="A518">
        <v>258</v>
      </c>
      <c r="B518">
        <v>-0.48760181476762471</v>
      </c>
    </row>
    <row r="519" spans="1:6">
      <c r="A519">
        <v>258.5</v>
      </c>
      <c r="B519">
        <v>-0.64656756525485659</v>
      </c>
    </row>
    <row r="520" spans="1:6">
      <c r="A520">
        <v>259</v>
      </c>
      <c r="B520">
        <v>-0.93119005520927378</v>
      </c>
    </row>
    <row r="521" spans="1:6">
      <c r="A521">
        <v>259.5</v>
      </c>
      <c r="B521">
        <v>-0.93750782761812845</v>
      </c>
    </row>
    <row r="522" spans="1:6">
      <c r="A522">
        <v>260</v>
      </c>
      <c r="B522">
        <v>-0.33388105622429592</v>
      </c>
    </row>
    <row r="523" spans="1:6">
      <c r="A523">
        <v>260.5</v>
      </c>
      <c r="B523">
        <v>1.196457290768453</v>
      </c>
    </row>
    <row r="524" spans="1:6">
      <c r="A524">
        <v>261</v>
      </c>
      <c r="B524">
        <v>0.81853176450601628</v>
      </c>
    </row>
    <row r="525" spans="1:6">
      <c r="A525">
        <v>261.5</v>
      </c>
      <c r="B525">
        <v>0.56517625001378613</v>
      </c>
    </row>
    <row r="526" spans="1:6">
      <c r="A526">
        <v>262</v>
      </c>
      <c r="B526">
        <v>0.43513342098400037</v>
      </c>
    </row>
    <row r="527" spans="1:6">
      <c r="A527">
        <v>262.5</v>
      </c>
      <c r="B527">
        <v>0.13902357986709121</v>
      </c>
    </row>
    <row r="528" spans="1:6">
      <c r="A528">
        <v>263</v>
      </c>
      <c r="B528">
        <v>-0.9132937398690929</v>
      </c>
    </row>
    <row r="529" spans="1:2">
      <c r="A529">
        <v>263.5</v>
      </c>
      <c r="B529">
        <v>-1.441439526962881</v>
      </c>
    </row>
    <row r="530" spans="1:2">
      <c r="A530">
        <v>264</v>
      </c>
      <c r="B530">
        <v>-0.89911201595086321</v>
      </c>
    </row>
    <row r="531" spans="1:2">
      <c r="A531">
        <v>264.5</v>
      </c>
      <c r="B531">
        <v>-0.26864857731338548</v>
      </c>
    </row>
    <row r="532" spans="1:2">
      <c r="A532">
        <v>265</v>
      </c>
      <c r="B532">
        <v>0.12771849175547631</v>
      </c>
    </row>
    <row r="533" spans="1:2">
      <c r="A533">
        <v>265.5</v>
      </c>
      <c r="B533">
        <v>-0.24451876016134369</v>
      </c>
    </row>
    <row r="534" spans="1:2">
      <c r="A534">
        <v>266</v>
      </c>
      <c r="B534">
        <v>0.93784055656567789</v>
      </c>
    </row>
    <row r="535" spans="1:2">
      <c r="A535">
        <v>266.5</v>
      </c>
      <c r="B535">
        <v>1.2088532763426689</v>
      </c>
    </row>
    <row r="536" spans="1:2">
      <c r="A536">
        <v>267</v>
      </c>
      <c r="B536">
        <v>0.45741803073205273</v>
      </c>
    </row>
    <row r="537" spans="1:2">
      <c r="A537">
        <v>267.5</v>
      </c>
      <c r="B537">
        <v>-0.49052026573670049</v>
      </c>
    </row>
    <row r="538" spans="1:2">
      <c r="A538">
        <v>268</v>
      </c>
      <c r="B538">
        <v>-0.75986792534925351</v>
      </c>
    </row>
    <row r="539" spans="1:2">
      <c r="A539">
        <v>268.5</v>
      </c>
      <c r="B539">
        <v>-0.52796762514111584</v>
      </c>
    </row>
    <row r="540" spans="1:2">
      <c r="A540">
        <v>269</v>
      </c>
      <c r="B540">
        <v>-0.74979795445224717</v>
      </c>
    </row>
    <row r="541" spans="1:2">
      <c r="A541">
        <v>269.5</v>
      </c>
      <c r="B541">
        <v>-1.203163626197105</v>
      </c>
    </row>
    <row r="542" spans="1:2">
      <c r="A542">
        <v>270</v>
      </c>
      <c r="B542">
        <v>0.16713842241296659</v>
      </c>
    </row>
    <row r="543" spans="1:2">
      <c r="A543">
        <v>270.5</v>
      </c>
      <c r="B543">
        <v>0.86184388136095302</v>
      </c>
    </row>
    <row r="544" spans="1:2">
      <c r="A544">
        <v>271</v>
      </c>
      <c r="B544">
        <v>1.057017351878244</v>
      </c>
    </row>
    <row r="545" spans="1:2">
      <c r="A545">
        <v>271.5</v>
      </c>
      <c r="B545">
        <v>0.73937024042673016</v>
      </c>
    </row>
    <row r="546" spans="1:2">
      <c r="A546">
        <v>272</v>
      </c>
      <c r="B546">
        <v>9.3456352267037801E-2</v>
      </c>
    </row>
    <row r="547" spans="1:2">
      <c r="A547">
        <v>272.5</v>
      </c>
      <c r="B547">
        <v>0.34062094890594291</v>
      </c>
    </row>
    <row r="548" spans="1:2">
      <c r="A548">
        <v>273</v>
      </c>
      <c r="B548">
        <v>-0.47237082685636628</v>
      </c>
    </row>
    <row r="549" spans="1:2">
      <c r="A549">
        <v>273.5</v>
      </c>
      <c r="B549">
        <v>-1.4916655935037419</v>
      </c>
    </row>
    <row r="550" spans="1:2">
      <c r="A550">
        <v>274</v>
      </c>
      <c r="B550">
        <v>-0.87682734162089049</v>
      </c>
    </row>
    <row r="551" spans="1:2">
      <c r="A551">
        <v>274.5</v>
      </c>
      <c r="B551">
        <v>-0.20858228963565681</v>
      </c>
    </row>
    <row r="552" spans="1:2">
      <c r="A552">
        <v>275</v>
      </c>
      <c r="B552">
        <v>1.731795749459223E-2</v>
      </c>
    </row>
    <row r="553" spans="1:2">
      <c r="A553">
        <v>275.5</v>
      </c>
      <c r="B553">
        <v>5.664980521404353E-2</v>
      </c>
    </row>
    <row r="554" spans="1:2">
      <c r="A554">
        <v>276</v>
      </c>
      <c r="B554">
        <v>1.1846129286271101</v>
      </c>
    </row>
    <row r="555" spans="1:2">
      <c r="A555">
        <v>276.5</v>
      </c>
      <c r="B555">
        <v>1.5019406849553989</v>
      </c>
    </row>
    <row r="556" spans="1:2">
      <c r="A556">
        <v>277</v>
      </c>
      <c r="B556">
        <v>0.65530578470755696</v>
      </c>
    </row>
    <row r="557" spans="1:2">
      <c r="A557">
        <v>277.5</v>
      </c>
      <c r="B557">
        <v>-0.5823753932244905</v>
      </c>
    </row>
    <row r="558" spans="1:2">
      <c r="A558">
        <v>278</v>
      </c>
      <c r="B558">
        <v>-0.68530649710696989</v>
      </c>
    </row>
    <row r="559" spans="1:2">
      <c r="A559">
        <v>278.5</v>
      </c>
      <c r="B559">
        <v>-0.53756815385907908</v>
      </c>
    </row>
    <row r="560" spans="1:2">
      <c r="A560">
        <v>279</v>
      </c>
      <c r="B560">
        <v>-0.87216608781947458</v>
      </c>
    </row>
    <row r="561" spans="1:2">
      <c r="A561">
        <v>279.5</v>
      </c>
      <c r="B561">
        <v>-1.1719821484565169</v>
      </c>
    </row>
    <row r="562" spans="1:2">
      <c r="A562">
        <v>280</v>
      </c>
      <c r="B562">
        <v>5.795497137923751E-2</v>
      </c>
    </row>
    <row r="563" spans="1:2">
      <c r="A563">
        <v>280.5</v>
      </c>
      <c r="B563">
        <v>1.5028654120215299</v>
      </c>
    </row>
    <row r="564" spans="1:2">
      <c r="A564">
        <v>281</v>
      </c>
      <c r="B564">
        <v>1.125281456981527</v>
      </c>
    </row>
    <row r="565" spans="1:2">
      <c r="A565">
        <v>281.5</v>
      </c>
      <c r="B565">
        <v>0.38585180986159512</v>
      </c>
    </row>
    <row r="566" spans="1:2">
      <c r="A566">
        <v>282</v>
      </c>
      <c r="B566">
        <v>0.82802803672521963</v>
      </c>
    </row>
    <row r="567" spans="1:2">
      <c r="A567">
        <v>282.5</v>
      </c>
      <c r="B567">
        <v>0.41838492539571409</v>
      </c>
    </row>
    <row r="568" spans="1:2">
      <c r="A568">
        <v>283</v>
      </c>
      <c r="B568">
        <v>-0.99541015932805932</v>
      </c>
    </row>
    <row r="569" spans="1:2">
      <c r="A569">
        <v>283.5</v>
      </c>
      <c r="B569">
        <v>-1.652673778478629</v>
      </c>
    </row>
    <row r="570" spans="1:2">
      <c r="A570">
        <v>284</v>
      </c>
      <c r="B570">
        <v>-1.325214900500334</v>
      </c>
    </row>
    <row r="571" spans="1:2">
      <c r="A571">
        <v>284.5</v>
      </c>
      <c r="B571">
        <v>-0.15808794910074339</v>
      </c>
    </row>
    <row r="572" spans="1:2">
      <c r="A572">
        <v>285</v>
      </c>
      <c r="B572">
        <v>3.6836758378765268E-3</v>
      </c>
    </row>
    <row r="573" spans="1:2">
      <c r="A573">
        <v>285.5</v>
      </c>
      <c r="B573">
        <v>0.42307271474752711</v>
      </c>
    </row>
    <row r="574" spans="1:2">
      <c r="A574">
        <v>286</v>
      </c>
      <c r="B574">
        <v>1.0164419910479709</v>
      </c>
    </row>
    <row r="575" spans="1:2">
      <c r="A575">
        <v>286.5</v>
      </c>
      <c r="B575">
        <v>1.407236410533379</v>
      </c>
    </row>
    <row r="576" spans="1:2">
      <c r="A576">
        <v>287</v>
      </c>
      <c r="B576">
        <v>0.75366636852920033</v>
      </c>
    </row>
    <row r="577" spans="1:2">
      <c r="A577">
        <v>287.5</v>
      </c>
      <c r="B577">
        <v>-0.94222706180158777</v>
      </c>
    </row>
    <row r="578" spans="1:2">
      <c r="A578">
        <v>288</v>
      </c>
      <c r="B578">
        <v>-0.54066234067076613</v>
      </c>
    </row>
    <row r="579" spans="1:2">
      <c r="A579">
        <v>288.5</v>
      </c>
      <c r="B579">
        <v>-0.29688347751774818</v>
      </c>
    </row>
    <row r="580" spans="1:2">
      <c r="A580">
        <v>289</v>
      </c>
      <c r="B580">
        <v>-1.2467737654511011</v>
      </c>
    </row>
    <row r="581" spans="1:2">
      <c r="A581">
        <v>289.5</v>
      </c>
      <c r="B581">
        <v>-0.85903444365111303</v>
      </c>
    </row>
    <row r="582" spans="1:2">
      <c r="A582">
        <v>290</v>
      </c>
      <c r="B582">
        <v>6.7699281498854416E-2</v>
      </c>
    </row>
    <row r="583" spans="1:2">
      <c r="A583">
        <v>290.5</v>
      </c>
      <c r="B583">
        <v>1.0047276695122931</v>
      </c>
    </row>
    <row r="584" spans="1:2">
      <c r="A584">
        <v>291</v>
      </c>
      <c r="B584">
        <v>1.077612889516447</v>
      </c>
    </row>
    <row r="585" spans="1:2">
      <c r="A585">
        <v>291.5</v>
      </c>
      <c r="B585">
        <v>0.90519508785603842</v>
      </c>
    </row>
    <row r="586" spans="1:2">
      <c r="A586">
        <v>292</v>
      </c>
      <c r="B586">
        <v>0.62415850330412159</v>
      </c>
    </row>
    <row r="587" spans="1:2">
      <c r="A587">
        <v>292.5</v>
      </c>
      <c r="B587">
        <v>0.54964411726007789</v>
      </c>
    </row>
    <row r="588" spans="1:2">
      <c r="A588">
        <v>293</v>
      </c>
      <c r="B588">
        <v>-0.6796574322004485</v>
      </c>
    </row>
    <row r="589" spans="1:2">
      <c r="A589">
        <v>293.5</v>
      </c>
      <c r="B589">
        <v>-1.6210253901881111</v>
      </c>
    </row>
    <row r="590" spans="1:2">
      <c r="A590">
        <v>294</v>
      </c>
      <c r="B590">
        <v>-0.78498935298630634</v>
      </c>
    </row>
    <row r="591" spans="1:2">
      <c r="A591">
        <v>294.5</v>
      </c>
      <c r="B591">
        <v>-0.25900201747424401</v>
      </c>
    </row>
    <row r="592" spans="1:2">
      <c r="A592">
        <v>295</v>
      </c>
      <c r="B592">
        <v>1.431324744385546E-2</v>
      </c>
    </row>
    <row r="593" spans="1:2">
      <c r="A593">
        <v>295.5</v>
      </c>
      <c r="B593">
        <v>-7.7462370605416581E-3</v>
      </c>
    </row>
    <row r="594" spans="1:2">
      <c r="A594">
        <v>296</v>
      </c>
      <c r="B594">
        <v>1.046852481444424</v>
      </c>
    </row>
    <row r="595" spans="1:2">
      <c r="A595">
        <v>296.5</v>
      </c>
      <c r="B595">
        <v>1.517788937352555</v>
      </c>
    </row>
    <row r="596" spans="1:2">
      <c r="A596">
        <v>297</v>
      </c>
      <c r="B596">
        <v>0.7952932411440683</v>
      </c>
    </row>
    <row r="597" spans="1:2">
      <c r="A597">
        <v>297.5</v>
      </c>
      <c r="B597">
        <v>-0.60200327977091694</v>
      </c>
    </row>
    <row r="598" spans="1:2">
      <c r="A598">
        <v>298</v>
      </c>
      <c r="B598">
        <v>-0.64176023935116167</v>
      </c>
    </row>
    <row r="599" spans="1:2">
      <c r="A599">
        <v>298.5</v>
      </c>
      <c r="B599">
        <v>-0.64680925945160728</v>
      </c>
    </row>
    <row r="600" spans="1:2">
      <c r="A600">
        <v>299</v>
      </c>
      <c r="B600">
        <v>-1.039915168310354</v>
      </c>
    </row>
    <row r="601" spans="1:2">
      <c r="A601">
        <v>299.5</v>
      </c>
      <c r="B601">
        <v>-1.0123251536835169</v>
      </c>
    </row>
    <row r="602" spans="1:2">
      <c r="A602">
        <v>300</v>
      </c>
      <c r="B602">
        <v>0.15139772332900181</v>
      </c>
    </row>
    <row r="603" spans="1:2">
      <c r="A603">
        <v>300.5</v>
      </c>
      <c r="B603">
        <v>0.9033521874569389</v>
      </c>
    </row>
    <row r="604" spans="1:2">
      <c r="A604">
        <v>301</v>
      </c>
      <c r="B604">
        <v>1.1249777003163051</v>
      </c>
    </row>
    <row r="605" spans="1:2">
      <c r="A605">
        <v>301.5</v>
      </c>
      <c r="B605">
        <v>0.72218408805614509</v>
      </c>
    </row>
    <row r="606" spans="1:2">
      <c r="A606">
        <v>302</v>
      </c>
      <c r="B606">
        <v>0.67047223293720037</v>
      </c>
    </row>
    <row r="607" spans="1:2">
      <c r="A607">
        <v>302.5</v>
      </c>
      <c r="B607">
        <v>0.87535916251161017</v>
      </c>
    </row>
    <row r="608" spans="1:2">
      <c r="A608">
        <v>303</v>
      </c>
      <c r="B608">
        <v>-0.74254309211312841</v>
      </c>
    </row>
    <row r="609" spans="1:2">
      <c r="A609">
        <v>303.5</v>
      </c>
      <c r="B609">
        <v>-1.69998745695744</v>
      </c>
    </row>
    <row r="610" spans="1:2">
      <c r="A610">
        <v>304</v>
      </c>
      <c r="B610">
        <v>-1.3068005660760611</v>
      </c>
    </row>
    <row r="611" spans="1:2">
      <c r="A611">
        <v>304.5</v>
      </c>
      <c r="B611">
        <v>0.21142361000533119</v>
      </c>
    </row>
    <row r="612" spans="1:2">
      <c r="A612">
        <v>305</v>
      </c>
      <c r="B612">
        <v>0.1308731312707993</v>
      </c>
    </row>
    <row r="613" spans="1:2">
      <c r="A613">
        <v>305.5</v>
      </c>
      <c r="B613">
        <v>7.666831811035564E-2</v>
      </c>
    </row>
    <row r="614" spans="1:2">
      <c r="A614">
        <v>306</v>
      </c>
      <c r="B614">
        <v>1.007050241559116</v>
      </c>
    </row>
    <row r="615" spans="1:2">
      <c r="A615">
        <v>306.5</v>
      </c>
      <c r="B615">
        <v>1.225958706835486</v>
      </c>
    </row>
    <row r="616" spans="1:2">
      <c r="A616">
        <v>307</v>
      </c>
      <c r="B616">
        <v>1.0769356482158401</v>
      </c>
    </row>
    <row r="617" spans="1:2">
      <c r="A617">
        <v>307.5</v>
      </c>
      <c r="B617">
        <v>-0.47415576360493578</v>
      </c>
    </row>
    <row r="618" spans="1:2">
      <c r="A618">
        <v>308</v>
      </c>
      <c r="B618">
        <v>-0.5659062933715171</v>
      </c>
    </row>
    <row r="619" spans="1:2">
      <c r="A619">
        <v>308.5</v>
      </c>
      <c r="B619">
        <v>-0.30590319151541168</v>
      </c>
    </row>
    <row r="620" spans="1:2">
      <c r="A620">
        <v>309</v>
      </c>
      <c r="B620">
        <v>-0.85485466994780512</v>
      </c>
    </row>
    <row r="621" spans="1:2">
      <c r="A621">
        <v>309.5</v>
      </c>
      <c r="B621">
        <v>-1.0430084474366501</v>
      </c>
    </row>
    <row r="622" spans="1:2">
      <c r="A622">
        <v>310</v>
      </c>
      <c r="B622">
        <v>-0.15809489108911429</v>
      </c>
    </row>
    <row r="623" spans="1:2">
      <c r="A623">
        <v>310.5</v>
      </c>
      <c r="B623">
        <v>1.182078923719674</v>
      </c>
    </row>
    <row r="624" spans="1:2">
      <c r="A624">
        <v>311</v>
      </c>
      <c r="B624">
        <v>1.3274614155901809</v>
      </c>
    </row>
    <row r="625" spans="1:2">
      <c r="A625">
        <v>311.5</v>
      </c>
      <c r="B625">
        <v>0.72014052552614627</v>
      </c>
    </row>
    <row r="626" spans="1:2">
      <c r="A626">
        <v>312</v>
      </c>
      <c r="B626">
        <v>0.90642257762033163</v>
      </c>
    </row>
    <row r="627" spans="1:2">
      <c r="A627">
        <v>312.5</v>
      </c>
      <c r="B627">
        <v>0.39775686471380312</v>
      </c>
    </row>
    <row r="628" spans="1:2">
      <c r="A628">
        <v>313</v>
      </c>
      <c r="B628">
        <v>-0.78570621634414395</v>
      </c>
    </row>
    <row r="629" spans="1:2">
      <c r="A629">
        <v>313.5</v>
      </c>
      <c r="B629">
        <v>-1.4762139003150729</v>
      </c>
    </row>
    <row r="630" spans="1:2">
      <c r="A630">
        <v>314</v>
      </c>
      <c r="B630">
        <v>-0.93991153383745918</v>
      </c>
    </row>
    <row r="631" spans="1:2">
      <c r="A631">
        <v>314.5</v>
      </c>
      <c r="B631">
        <v>0.1310530514016954</v>
      </c>
    </row>
    <row r="632" spans="1:2">
      <c r="A632">
        <v>315</v>
      </c>
      <c r="B632">
        <v>-0.33849292594296537</v>
      </c>
    </row>
    <row r="633" spans="1:2">
      <c r="A633">
        <v>315.5</v>
      </c>
      <c r="B633">
        <v>0.39369531618458048</v>
      </c>
    </row>
    <row r="634" spans="1:2">
      <c r="A634">
        <v>316</v>
      </c>
      <c r="B634">
        <v>0.91945493657934407</v>
      </c>
    </row>
    <row r="635" spans="1:2">
      <c r="A635">
        <v>316.5</v>
      </c>
      <c r="B635">
        <v>1.3656803023056729</v>
      </c>
    </row>
    <row r="636" spans="1:2">
      <c r="A636">
        <v>317</v>
      </c>
      <c r="B636">
        <v>0.38536437724047279</v>
      </c>
    </row>
    <row r="637" spans="1:2">
      <c r="A637">
        <v>317.5</v>
      </c>
      <c r="B637">
        <v>-0.83097133437314907</v>
      </c>
    </row>
    <row r="638" spans="1:2">
      <c r="A638">
        <v>318</v>
      </c>
      <c r="B638">
        <v>-0.42315113550007488</v>
      </c>
    </row>
    <row r="639" spans="1:2">
      <c r="A639">
        <v>318.5</v>
      </c>
      <c r="B639">
        <v>-0.4363929228574735</v>
      </c>
    </row>
    <row r="640" spans="1:2">
      <c r="A640">
        <v>319</v>
      </c>
      <c r="B640">
        <v>-1.2090486962433571</v>
      </c>
    </row>
    <row r="641" spans="1:2">
      <c r="A641">
        <v>319.5</v>
      </c>
      <c r="B641">
        <v>-1.346801006705189</v>
      </c>
    </row>
    <row r="642" spans="1:2">
      <c r="A642">
        <v>320</v>
      </c>
      <c r="B642">
        <v>-6.7156939858060913E-2</v>
      </c>
    </row>
    <row r="643" spans="1:2">
      <c r="A643">
        <v>320.5</v>
      </c>
      <c r="B643">
        <v>1.421589557350319</v>
      </c>
    </row>
    <row r="644" spans="1:2">
      <c r="A644">
        <v>321</v>
      </c>
      <c r="B644">
        <v>0.89913824602245485</v>
      </c>
    </row>
    <row r="645" spans="1:2">
      <c r="A645">
        <v>321.5</v>
      </c>
      <c r="B645">
        <v>0.15042792567154281</v>
      </c>
    </row>
    <row r="646" spans="1:2">
      <c r="A646">
        <v>322</v>
      </c>
      <c r="B646">
        <v>0.53863663947525509</v>
      </c>
    </row>
    <row r="647" spans="1:2">
      <c r="A647">
        <v>322.5</v>
      </c>
      <c r="B647">
        <v>0.44545528605049223</v>
      </c>
    </row>
    <row r="648" spans="1:2">
      <c r="A648">
        <v>323</v>
      </c>
      <c r="B648">
        <v>-1.1271625808807559</v>
      </c>
    </row>
    <row r="649" spans="1:2">
      <c r="A649">
        <v>323.5</v>
      </c>
      <c r="B649">
        <v>-1.4619154895987101</v>
      </c>
    </row>
    <row r="650" spans="1:2">
      <c r="A650">
        <v>324</v>
      </c>
      <c r="B650">
        <v>-0.99724342233692642</v>
      </c>
    </row>
    <row r="651" spans="1:2">
      <c r="A651">
        <v>324.5</v>
      </c>
      <c r="B651">
        <v>5.1456020670200497E-2</v>
      </c>
    </row>
    <row r="652" spans="1:2">
      <c r="A652">
        <v>325</v>
      </c>
      <c r="B652">
        <v>0.36979121898907841</v>
      </c>
    </row>
    <row r="653" spans="1:2">
      <c r="A653">
        <v>325.5</v>
      </c>
      <c r="B653">
        <v>0.31309825820202042</v>
      </c>
    </row>
    <row r="654" spans="1:2">
      <c r="A654">
        <v>326</v>
      </c>
      <c r="B654">
        <v>0.89727877818412616</v>
      </c>
    </row>
    <row r="655" spans="1:2">
      <c r="A655">
        <v>326.5</v>
      </c>
      <c r="B655">
        <v>1.229751334546819</v>
      </c>
    </row>
    <row r="656" spans="1:2">
      <c r="A656">
        <v>327</v>
      </c>
      <c r="B656">
        <v>1.1024572129424639</v>
      </c>
    </row>
    <row r="657" spans="1:2">
      <c r="A657">
        <v>327.5</v>
      </c>
      <c r="B657">
        <v>-0.48815631319711111</v>
      </c>
    </row>
    <row r="658" spans="1:2">
      <c r="A658">
        <v>328</v>
      </c>
      <c r="B658">
        <v>-0.58499939390993361</v>
      </c>
    </row>
    <row r="659" spans="1:2">
      <c r="A659">
        <v>328.5</v>
      </c>
      <c r="B659">
        <v>-0.45588153371714157</v>
      </c>
    </row>
    <row r="660" spans="1:2">
      <c r="A660">
        <v>329</v>
      </c>
      <c r="B660">
        <v>-0.91143956414157412</v>
      </c>
    </row>
    <row r="661" spans="1:2">
      <c r="A661">
        <v>329.5</v>
      </c>
      <c r="B661">
        <v>-1.116657334677289</v>
      </c>
    </row>
    <row r="662" spans="1:2">
      <c r="A662">
        <v>330</v>
      </c>
      <c r="B662">
        <v>-0.1147324013761227</v>
      </c>
    </row>
    <row r="663" spans="1:2">
      <c r="A663">
        <v>330.5</v>
      </c>
      <c r="B663">
        <v>0.9784134640443729</v>
      </c>
    </row>
    <row r="664" spans="1:2">
      <c r="A664">
        <v>331</v>
      </c>
      <c r="B664">
        <v>0.94450586225197763</v>
      </c>
    </row>
    <row r="665" spans="1:2">
      <c r="A665">
        <v>331.5</v>
      </c>
      <c r="B665">
        <v>0.34237156206840669</v>
      </c>
    </row>
    <row r="666" spans="1:2">
      <c r="A666">
        <v>332</v>
      </c>
      <c r="B666">
        <v>0.44521609575710591</v>
      </c>
    </row>
    <row r="667" spans="1:2">
      <c r="A667">
        <v>332.5</v>
      </c>
      <c r="B667">
        <v>0.52128604553839208</v>
      </c>
    </row>
    <row r="668" spans="1:2">
      <c r="A668">
        <v>333</v>
      </c>
      <c r="B668">
        <v>-0.63878069577658092</v>
      </c>
    </row>
    <row r="669" spans="1:2">
      <c r="A669">
        <v>333.5</v>
      </c>
      <c r="B669">
        <v>-1.1502579185786139</v>
      </c>
    </row>
    <row r="670" spans="1:2">
      <c r="A670">
        <v>334</v>
      </c>
      <c r="B670">
        <v>-1.481250477973747</v>
      </c>
    </row>
    <row r="671" spans="1:2">
      <c r="A671">
        <v>334.5</v>
      </c>
      <c r="B671">
        <v>0.13051611809202029</v>
      </c>
    </row>
    <row r="672" spans="1:2">
      <c r="A672">
        <v>335</v>
      </c>
      <c r="B672">
        <v>0.24921703849954591</v>
      </c>
    </row>
    <row r="673" spans="1:2">
      <c r="A673">
        <v>335.5</v>
      </c>
      <c r="B673">
        <v>-0.3268927941891499</v>
      </c>
    </row>
    <row r="674" spans="1:2">
      <c r="A674">
        <v>336</v>
      </c>
      <c r="B674">
        <v>0.88251899747908669</v>
      </c>
    </row>
    <row r="675" spans="1:2">
      <c r="A675">
        <v>336.5</v>
      </c>
      <c r="B675">
        <v>1.376768343096008</v>
      </c>
    </row>
    <row r="676" spans="1:2">
      <c r="A676">
        <v>337</v>
      </c>
      <c r="B676">
        <v>0.30628291334897079</v>
      </c>
    </row>
    <row r="677" spans="1:2">
      <c r="A677">
        <v>337.5</v>
      </c>
      <c r="B677">
        <v>-0.65556333751814067</v>
      </c>
    </row>
    <row r="678" spans="1:2">
      <c r="A678">
        <v>338</v>
      </c>
      <c r="B678">
        <v>-0.80990042138563989</v>
      </c>
    </row>
    <row r="679" spans="1:2">
      <c r="A679">
        <v>338.5</v>
      </c>
      <c r="B679">
        <v>-0.10060242761042069</v>
      </c>
    </row>
    <row r="680" spans="1:2">
      <c r="A680">
        <v>339</v>
      </c>
      <c r="B680">
        <v>-0.76392083766559471</v>
      </c>
    </row>
    <row r="681" spans="1:2">
      <c r="A681">
        <v>339.5</v>
      </c>
      <c r="B681">
        <v>-0.83347423329365755</v>
      </c>
    </row>
    <row r="682" spans="1:2">
      <c r="A682">
        <v>340</v>
      </c>
      <c r="B682">
        <v>0.14433441280864509</v>
      </c>
    </row>
    <row r="683" spans="1:2">
      <c r="A683">
        <v>340.5</v>
      </c>
      <c r="B683">
        <v>0.86197489804901661</v>
      </c>
    </row>
    <row r="684" spans="1:2">
      <c r="A684">
        <v>341</v>
      </c>
      <c r="B684">
        <v>0.84615246303926306</v>
      </c>
    </row>
    <row r="685" spans="1:2">
      <c r="A685">
        <v>341.5</v>
      </c>
      <c r="B685">
        <v>0.54893142854073906</v>
      </c>
    </row>
    <row r="686" spans="1:2">
      <c r="A686">
        <v>342</v>
      </c>
      <c r="B686">
        <v>0.3433596905140846</v>
      </c>
    </row>
    <row r="687" spans="1:2">
      <c r="A687">
        <v>342.5</v>
      </c>
      <c r="B687">
        <v>0.64259968603447648</v>
      </c>
    </row>
    <row r="688" spans="1:2">
      <c r="A688">
        <v>343</v>
      </c>
      <c r="B688">
        <v>-0.63585033192410778</v>
      </c>
    </row>
    <row r="689" spans="1:2">
      <c r="A689">
        <v>343.5</v>
      </c>
      <c r="B689">
        <v>-1.526020677805076</v>
      </c>
    </row>
    <row r="690" spans="1:2">
      <c r="A690">
        <v>344</v>
      </c>
      <c r="B690">
        <v>-0.80886452265449571</v>
      </c>
    </row>
    <row r="691" spans="1:2">
      <c r="A691">
        <v>344.5</v>
      </c>
      <c r="B691">
        <v>1.067410004701008E-3</v>
      </c>
    </row>
    <row r="692" spans="1:2">
      <c r="A692">
        <v>345</v>
      </c>
      <c r="B692">
        <v>-7.2193233163841963E-2</v>
      </c>
    </row>
    <row r="693" spans="1:2">
      <c r="A693">
        <v>345.5</v>
      </c>
      <c r="B693">
        <v>0.31965121296529481</v>
      </c>
    </row>
    <row r="694" spans="1:2">
      <c r="A694">
        <v>346</v>
      </c>
      <c r="B694">
        <v>0.73484385077512715</v>
      </c>
    </row>
    <row r="695" spans="1:2">
      <c r="A695">
        <v>346.5</v>
      </c>
      <c r="B695">
        <v>1.574243637684015</v>
      </c>
    </row>
    <row r="696" spans="1:2">
      <c r="A696">
        <v>347</v>
      </c>
      <c r="B696">
        <v>0.70640550388614087</v>
      </c>
    </row>
    <row r="697" spans="1:2">
      <c r="A697">
        <v>347.5</v>
      </c>
      <c r="B697">
        <v>-0.5619092878627775</v>
      </c>
    </row>
    <row r="698" spans="1:2">
      <c r="A698">
        <v>348</v>
      </c>
      <c r="B698">
        <v>-0.52255864784406958</v>
      </c>
    </row>
    <row r="699" spans="1:2">
      <c r="A699">
        <v>348.5</v>
      </c>
      <c r="B699">
        <v>-0.70127923157221006</v>
      </c>
    </row>
    <row r="700" spans="1:2">
      <c r="A700">
        <v>349</v>
      </c>
      <c r="B700">
        <v>-0.76625111245377986</v>
      </c>
    </row>
    <row r="701" spans="1:2">
      <c r="A701">
        <v>349.5</v>
      </c>
      <c r="B701">
        <v>-1.1247656795810761</v>
      </c>
    </row>
    <row r="702" spans="1:2">
      <c r="A702">
        <v>350</v>
      </c>
      <c r="B702">
        <v>-0.1045446041039069</v>
      </c>
    </row>
    <row r="703" spans="1:2">
      <c r="A703">
        <v>350.5</v>
      </c>
      <c r="B703">
        <v>1.2975870974598509</v>
      </c>
    </row>
    <row r="704" spans="1:2">
      <c r="A704">
        <v>351</v>
      </c>
      <c r="B704">
        <v>0.81018777818661047</v>
      </c>
    </row>
    <row r="705" spans="1:2">
      <c r="A705">
        <v>351.5</v>
      </c>
      <c r="B705">
        <v>0.16936425702243929</v>
      </c>
    </row>
    <row r="706" spans="1:2">
      <c r="A706">
        <v>352</v>
      </c>
      <c r="B706">
        <v>0.27645941758762799</v>
      </c>
    </row>
    <row r="707" spans="1:2">
      <c r="A707">
        <v>352.5</v>
      </c>
      <c r="B707">
        <v>0.62120199026917</v>
      </c>
    </row>
    <row r="708" spans="1:2">
      <c r="A708">
        <v>353</v>
      </c>
      <c r="B708">
        <v>-0.84387112279169463</v>
      </c>
    </row>
    <row r="709" spans="1:2">
      <c r="A709">
        <v>353.5</v>
      </c>
      <c r="B709">
        <v>-1.10009767989827</v>
      </c>
    </row>
    <row r="710" spans="1:2">
      <c r="A710">
        <v>354</v>
      </c>
      <c r="B710">
        <v>-1.3674423978718739</v>
      </c>
    </row>
    <row r="711" spans="1:2">
      <c r="A711">
        <v>354.5</v>
      </c>
      <c r="B711">
        <v>0.25150602136551181</v>
      </c>
    </row>
    <row r="712" spans="1:2">
      <c r="A712">
        <v>355</v>
      </c>
      <c r="B712">
        <v>4.2203493440565343E-2</v>
      </c>
    </row>
    <row r="713" spans="1:2">
      <c r="A713">
        <v>355.5</v>
      </c>
      <c r="B713">
        <v>6.8442629918377726E-2</v>
      </c>
    </row>
    <row r="714" spans="1:2">
      <c r="A714">
        <v>356</v>
      </c>
      <c r="B714">
        <v>0.84207269893338077</v>
      </c>
    </row>
    <row r="715" spans="1:2">
      <c r="A715">
        <v>356.5</v>
      </c>
      <c r="B715">
        <v>1.5308837391655721</v>
      </c>
    </row>
    <row r="716" spans="1:2">
      <c r="A716">
        <v>357</v>
      </c>
      <c r="B716">
        <v>0.58025831180758336</v>
      </c>
    </row>
    <row r="717" spans="1:2">
      <c r="A717">
        <v>357.5</v>
      </c>
      <c r="B717">
        <v>-0.27933962359668879</v>
      </c>
    </row>
    <row r="718" spans="1:2">
      <c r="A718">
        <v>358</v>
      </c>
      <c r="B718">
        <v>-0.56493972256003655</v>
      </c>
    </row>
    <row r="719" spans="1:2">
      <c r="A719">
        <v>358.5</v>
      </c>
      <c r="B719">
        <v>-0.42099616400277817</v>
      </c>
    </row>
    <row r="720" spans="1:2">
      <c r="A720">
        <v>359</v>
      </c>
      <c r="B720">
        <v>-1.0237789587378729</v>
      </c>
    </row>
    <row r="721" spans="1:2">
      <c r="A721">
        <v>359.5</v>
      </c>
      <c r="B721">
        <v>-1.0991743770366811</v>
      </c>
    </row>
    <row r="722" spans="1:2">
      <c r="A722">
        <v>360</v>
      </c>
      <c r="B722">
        <v>6.1560353778386367E-2</v>
      </c>
    </row>
    <row r="723" spans="1:2">
      <c r="A723">
        <v>360.5</v>
      </c>
      <c r="B723">
        <v>0.74575157376111356</v>
      </c>
    </row>
    <row r="724" spans="1:2">
      <c r="A724">
        <v>361</v>
      </c>
      <c r="B724">
        <v>0.68141943187407783</v>
      </c>
    </row>
    <row r="725" spans="1:2">
      <c r="A725">
        <v>361.5</v>
      </c>
      <c r="B725">
        <v>0.59970933509970759</v>
      </c>
    </row>
    <row r="726" spans="1:2">
      <c r="A726">
        <v>362</v>
      </c>
      <c r="B726">
        <v>0.62195833991804572</v>
      </c>
    </row>
    <row r="727" spans="1:2">
      <c r="A727">
        <v>362.5</v>
      </c>
      <c r="B727">
        <v>0.46320333272949249</v>
      </c>
    </row>
    <row r="728" spans="1:2">
      <c r="A728">
        <v>363</v>
      </c>
      <c r="B728">
        <v>-0.58409846567943025</v>
      </c>
    </row>
    <row r="729" spans="1:2">
      <c r="A729">
        <v>363.5</v>
      </c>
      <c r="B729">
        <v>-1.3815401752228129</v>
      </c>
    </row>
    <row r="730" spans="1:2">
      <c r="A730">
        <v>364</v>
      </c>
      <c r="B730">
        <v>-1.05900845235707</v>
      </c>
    </row>
    <row r="731" spans="1:2">
      <c r="A731">
        <v>364.5</v>
      </c>
      <c r="B731">
        <v>-0.24344619737294729</v>
      </c>
    </row>
    <row r="732" spans="1:2">
      <c r="A732">
        <v>365</v>
      </c>
      <c r="B732">
        <v>3.9169051019475057E-2</v>
      </c>
    </row>
    <row r="733" spans="1:2">
      <c r="A733">
        <v>365.5</v>
      </c>
      <c r="B733">
        <v>-0.10788930323053909</v>
      </c>
    </row>
    <row r="734" spans="1:2">
      <c r="A734">
        <v>366</v>
      </c>
      <c r="B734">
        <v>1.0327070674379979</v>
      </c>
    </row>
    <row r="735" spans="1:2">
      <c r="A735">
        <v>366.5</v>
      </c>
      <c r="B735">
        <v>1.110539795447586</v>
      </c>
    </row>
    <row r="736" spans="1:2">
      <c r="A736">
        <v>367</v>
      </c>
      <c r="B736">
        <v>0.7936163797576109</v>
      </c>
    </row>
    <row r="737" spans="1:2">
      <c r="A737">
        <v>367.5</v>
      </c>
      <c r="B737">
        <v>-0.40548050351739823</v>
      </c>
    </row>
    <row r="738" spans="1:2">
      <c r="A738">
        <v>368</v>
      </c>
      <c r="B738">
        <v>-0.53657930542973442</v>
      </c>
    </row>
    <row r="739" spans="1:2">
      <c r="A739">
        <v>368.5</v>
      </c>
      <c r="B739">
        <v>-0.25451831950603759</v>
      </c>
    </row>
    <row r="740" spans="1:2">
      <c r="A740">
        <v>369</v>
      </c>
      <c r="B740">
        <v>-0.61796162740264204</v>
      </c>
    </row>
    <row r="741" spans="1:2">
      <c r="A741">
        <v>369.5</v>
      </c>
      <c r="B741">
        <v>-0.88491123928887594</v>
      </c>
    </row>
    <row r="742" spans="1:2">
      <c r="A742">
        <v>370</v>
      </c>
      <c r="B742">
        <v>-0.36817484626639468</v>
      </c>
    </row>
    <row r="743" spans="1:2">
      <c r="A743">
        <v>370.5</v>
      </c>
      <c r="B743">
        <v>0.83186985894530951</v>
      </c>
    </row>
    <row r="744" spans="1:2">
      <c r="A744">
        <v>371</v>
      </c>
      <c r="B744">
        <v>0.82609280075602909</v>
      </c>
    </row>
    <row r="745" spans="1:2">
      <c r="A745">
        <v>371.5</v>
      </c>
      <c r="B745">
        <v>0.45627472633732719</v>
      </c>
    </row>
    <row r="746" spans="1:2">
      <c r="A746">
        <v>372</v>
      </c>
      <c r="B746">
        <v>0.69131705638621699</v>
      </c>
    </row>
    <row r="747" spans="1:2">
      <c r="A747">
        <v>372.5</v>
      </c>
      <c r="B747">
        <v>0.35485123736932139</v>
      </c>
    </row>
    <row r="748" spans="1:2">
      <c r="A748">
        <v>373</v>
      </c>
      <c r="B748">
        <v>-0.55043189939700432</v>
      </c>
    </row>
    <row r="749" spans="1:2">
      <c r="A749">
        <v>373.5</v>
      </c>
      <c r="B749">
        <v>-1.6021331027658161</v>
      </c>
    </row>
    <row r="750" spans="1:2">
      <c r="A750">
        <v>374</v>
      </c>
      <c r="B750">
        <v>-1.073360076893523</v>
      </c>
    </row>
    <row r="751" spans="1:2">
      <c r="A751">
        <v>374.5</v>
      </c>
      <c r="B751">
        <v>-0.36911747166211811</v>
      </c>
    </row>
    <row r="752" spans="1:2">
      <c r="A752">
        <v>375</v>
      </c>
      <c r="B752">
        <v>-0.1846466492221745</v>
      </c>
    </row>
    <row r="753" spans="1:2">
      <c r="A753">
        <v>375.5</v>
      </c>
      <c r="B753">
        <v>-0.1825516688307883</v>
      </c>
    </row>
    <row r="754" spans="1:2">
      <c r="A754">
        <v>376</v>
      </c>
      <c r="B754">
        <v>0.75588186569970095</v>
      </c>
    </row>
    <row r="755" spans="1:2">
      <c r="A755">
        <v>376.5</v>
      </c>
      <c r="B755">
        <v>1.661784875616735</v>
      </c>
    </row>
    <row r="756" spans="1:2">
      <c r="A756">
        <v>377</v>
      </c>
      <c r="B756">
        <v>0.39790547452613628</v>
      </c>
    </row>
    <row r="757" spans="1:2">
      <c r="A757">
        <v>377.5</v>
      </c>
      <c r="B757">
        <v>2.6476412967514459E-2</v>
      </c>
    </row>
    <row r="758" spans="1:2">
      <c r="A758">
        <v>378</v>
      </c>
      <c r="B758">
        <v>-0.48912167211628299</v>
      </c>
    </row>
    <row r="759" spans="1:2">
      <c r="A759">
        <v>378.5</v>
      </c>
      <c r="B759">
        <v>-0.41408929155616991</v>
      </c>
    </row>
    <row r="760" spans="1:2">
      <c r="A760">
        <v>379</v>
      </c>
      <c r="B760">
        <v>-1.122728072331342</v>
      </c>
    </row>
    <row r="761" spans="1:2">
      <c r="A761">
        <v>379.5</v>
      </c>
      <c r="B761">
        <v>-0.94772327641069265</v>
      </c>
    </row>
    <row r="762" spans="1:2">
      <c r="A762">
        <v>380</v>
      </c>
      <c r="B762">
        <v>-0.1151275652476038</v>
      </c>
    </row>
    <row r="763" spans="1:2">
      <c r="A763">
        <v>380.5</v>
      </c>
      <c r="B763">
        <v>1.1121872152215331</v>
      </c>
    </row>
    <row r="764" spans="1:2">
      <c r="A764">
        <v>381</v>
      </c>
      <c r="B764">
        <v>1.463073423948964</v>
      </c>
    </row>
    <row r="765" spans="1:2">
      <c r="A765">
        <v>381.5</v>
      </c>
      <c r="B765">
        <v>0.43184453635022618</v>
      </c>
    </row>
    <row r="766" spans="1:2">
      <c r="A766">
        <v>382</v>
      </c>
      <c r="B766">
        <v>0.81763991754962217</v>
      </c>
    </row>
    <row r="767" spans="1:2">
      <c r="A767">
        <v>382.5</v>
      </c>
      <c r="B767">
        <v>0.35936471497482347</v>
      </c>
    </row>
    <row r="768" spans="1:2">
      <c r="A768">
        <v>383</v>
      </c>
      <c r="B768">
        <v>-0.59478295039176954</v>
      </c>
    </row>
    <row r="769" spans="1:2">
      <c r="A769">
        <v>383.5</v>
      </c>
      <c r="B769">
        <v>-1.096896389168053</v>
      </c>
    </row>
    <row r="770" spans="1:2">
      <c r="A770">
        <v>384</v>
      </c>
      <c r="B770">
        <v>-1.076449927852736</v>
      </c>
    </row>
    <row r="771" spans="1:2">
      <c r="A771">
        <v>384.5</v>
      </c>
      <c r="B771">
        <v>0.27470445930687731</v>
      </c>
    </row>
    <row r="772" spans="1:2">
      <c r="A772">
        <v>385</v>
      </c>
      <c r="B772">
        <v>0.14155038709105541</v>
      </c>
    </row>
    <row r="773" spans="1:2">
      <c r="A773">
        <v>385.5</v>
      </c>
      <c r="B773">
        <v>-2.4708102886409979E-2</v>
      </c>
    </row>
    <row r="774" spans="1:2">
      <c r="A774">
        <v>386</v>
      </c>
      <c r="B774">
        <v>1.077538064106222</v>
      </c>
    </row>
    <row r="775" spans="1:2">
      <c r="A775">
        <v>386.5</v>
      </c>
      <c r="B775">
        <v>1.645567406220509</v>
      </c>
    </row>
    <row r="776" spans="1:2">
      <c r="A776">
        <v>387</v>
      </c>
      <c r="B776">
        <v>0.7121472447358933</v>
      </c>
    </row>
    <row r="777" spans="1:2">
      <c r="A777">
        <v>387.5</v>
      </c>
      <c r="B777">
        <v>-0.8140449439780687</v>
      </c>
    </row>
    <row r="778" spans="1:2">
      <c r="A778">
        <v>388</v>
      </c>
      <c r="B778">
        <v>-0.73321268745749957</v>
      </c>
    </row>
    <row r="779" spans="1:2">
      <c r="A779">
        <v>388.5</v>
      </c>
      <c r="B779">
        <v>-0.5005602434054498</v>
      </c>
    </row>
    <row r="780" spans="1:2">
      <c r="A780">
        <v>389</v>
      </c>
      <c r="B780">
        <v>-0.9659432021151817</v>
      </c>
    </row>
    <row r="781" spans="1:2">
      <c r="A781">
        <v>389.5</v>
      </c>
      <c r="B781">
        <v>-0.9636508327823442</v>
      </c>
    </row>
    <row r="782" spans="1:2">
      <c r="A782">
        <v>390</v>
      </c>
      <c r="B782">
        <v>3.5540200186561587E-2</v>
      </c>
    </row>
    <row r="783" spans="1:2">
      <c r="A783">
        <v>390.5</v>
      </c>
      <c r="B783">
        <v>0.82071638055045182</v>
      </c>
    </row>
    <row r="784" spans="1:2">
      <c r="A784">
        <v>391</v>
      </c>
      <c r="B784">
        <v>1.027096086496343</v>
      </c>
    </row>
    <row r="785" spans="1:2">
      <c r="A785">
        <v>391.5</v>
      </c>
      <c r="B785">
        <v>0.57317366535191661</v>
      </c>
    </row>
    <row r="786" spans="1:2">
      <c r="A786">
        <v>392</v>
      </c>
      <c r="B786">
        <v>0.69974334187863008</v>
      </c>
    </row>
    <row r="787" spans="1:2">
      <c r="A787">
        <v>392.5</v>
      </c>
      <c r="B787">
        <v>0.71615614511096848</v>
      </c>
    </row>
    <row r="788" spans="1:2">
      <c r="A788">
        <v>393</v>
      </c>
      <c r="B788">
        <v>-0.42100082138266731</v>
      </c>
    </row>
    <row r="789" spans="1:2">
      <c r="A789">
        <v>393.5</v>
      </c>
      <c r="B789">
        <v>-1.3592205004494551</v>
      </c>
    </row>
    <row r="790" spans="1:2">
      <c r="A790">
        <v>394</v>
      </c>
      <c r="B790">
        <v>-0.96508965858696194</v>
      </c>
    </row>
    <row r="791" spans="1:2">
      <c r="A791">
        <v>394.5</v>
      </c>
      <c r="B791">
        <v>-0.41997743899569567</v>
      </c>
    </row>
    <row r="792" spans="1:2">
      <c r="A792">
        <v>395</v>
      </c>
      <c r="B792">
        <v>8.5923643826545118E-2</v>
      </c>
    </row>
    <row r="793" spans="1:2">
      <c r="A793">
        <v>395.5</v>
      </c>
      <c r="B793">
        <v>0.12932278972507691</v>
      </c>
    </row>
    <row r="794" spans="1:2">
      <c r="A794">
        <v>396</v>
      </c>
      <c r="B794">
        <v>1.0053722837342389</v>
      </c>
    </row>
    <row r="795" spans="1:2">
      <c r="A795">
        <v>396.5</v>
      </c>
      <c r="B795">
        <v>1.195706801131097</v>
      </c>
    </row>
    <row r="796" spans="1:2">
      <c r="A796">
        <v>397</v>
      </c>
      <c r="B796">
        <v>0.37157394421089041</v>
      </c>
    </row>
    <row r="797" spans="1:2">
      <c r="A797">
        <v>397.5</v>
      </c>
      <c r="B797">
        <v>-0.28936942933341042</v>
      </c>
    </row>
    <row r="798" spans="1:2">
      <c r="A798">
        <v>398</v>
      </c>
      <c r="B798">
        <v>-0.59569628306376221</v>
      </c>
    </row>
    <row r="799" spans="1:2">
      <c r="A799">
        <v>398.5</v>
      </c>
      <c r="B799">
        <v>-0.31475637682062818</v>
      </c>
    </row>
    <row r="800" spans="1:2">
      <c r="A800">
        <v>399</v>
      </c>
      <c r="B800">
        <v>-0.94539284106902211</v>
      </c>
    </row>
    <row r="801" spans="1:2">
      <c r="A801">
        <v>399.5</v>
      </c>
      <c r="B801">
        <v>-1.08183402439332</v>
      </c>
    </row>
    <row r="802" spans="1:2">
      <c r="A802">
        <v>400</v>
      </c>
      <c r="B802">
        <v>0.1876567611951839</v>
      </c>
    </row>
    <row r="803" spans="1:2">
      <c r="A803">
        <v>400.5</v>
      </c>
      <c r="B803">
        <v>0.98457630664896234</v>
      </c>
    </row>
    <row r="804" spans="1:2">
      <c r="A804">
        <v>401</v>
      </c>
      <c r="B804">
        <v>0.97028067168340459</v>
      </c>
    </row>
    <row r="805" spans="1:2">
      <c r="A805">
        <v>401.5</v>
      </c>
      <c r="B805">
        <v>0.3586014585541567</v>
      </c>
    </row>
    <row r="806" spans="1:2">
      <c r="A806">
        <v>402</v>
      </c>
      <c r="B806">
        <v>0.50088600680600759</v>
      </c>
    </row>
    <row r="807" spans="1:2">
      <c r="A807">
        <v>402.5</v>
      </c>
      <c r="B807">
        <v>0.4381655753063024</v>
      </c>
    </row>
    <row r="808" spans="1:2">
      <c r="A808">
        <v>403</v>
      </c>
      <c r="B808">
        <v>-0.54335849796566271</v>
      </c>
    </row>
    <row r="809" spans="1:2">
      <c r="A809">
        <v>403.5</v>
      </c>
      <c r="B809">
        <v>-1.546806240627842</v>
      </c>
    </row>
    <row r="810" spans="1:2">
      <c r="A810">
        <v>404</v>
      </c>
      <c r="B810">
        <v>-0.69990529118046441</v>
      </c>
    </row>
    <row r="811" spans="1:2">
      <c r="A811">
        <v>404.5</v>
      </c>
      <c r="B811">
        <v>-0.26670671273638707</v>
      </c>
    </row>
    <row r="812" spans="1:2">
      <c r="A812">
        <v>405</v>
      </c>
      <c r="B812">
        <v>-3.73743288322331E-2</v>
      </c>
    </row>
    <row r="813" spans="1:2">
      <c r="A813">
        <v>405.5</v>
      </c>
      <c r="B813">
        <v>-1.60959362369234E-4</v>
      </c>
    </row>
    <row r="814" spans="1:2">
      <c r="A814">
        <v>406</v>
      </c>
      <c r="B814">
        <v>1.2404520931658609</v>
      </c>
    </row>
    <row r="815" spans="1:2">
      <c r="A815">
        <v>406.5</v>
      </c>
      <c r="B815">
        <v>1.4903674715974691</v>
      </c>
    </row>
    <row r="816" spans="1:2">
      <c r="A816">
        <v>407</v>
      </c>
      <c r="B816">
        <v>0.79415416018619889</v>
      </c>
    </row>
    <row r="817" spans="1:2">
      <c r="A817">
        <v>407.5</v>
      </c>
      <c r="B817">
        <v>-0.79711207460734235</v>
      </c>
    </row>
    <row r="818" spans="1:2">
      <c r="A818">
        <v>408</v>
      </c>
      <c r="B818">
        <v>-0.53437519911859843</v>
      </c>
    </row>
    <row r="819" spans="1:2">
      <c r="A819">
        <v>408.5</v>
      </c>
      <c r="B819">
        <v>-0.27313035717047002</v>
      </c>
    </row>
    <row r="820" spans="1:2">
      <c r="A820">
        <v>409</v>
      </c>
      <c r="B820">
        <v>-0.93459971844008494</v>
      </c>
    </row>
    <row r="821" spans="1:2">
      <c r="A821">
        <v>409.5</v>
      </c>
      <c r="B821">
        <v>-0.87468917727943352</v>
      </c>
    </row>
    <row r="822" spans="1:2">
      <c r="A822">
        <v>410</v>
      </c>
      <c r="B822">
        <v>-0.10345769002018711</v>
      </c>
    </row>
    <row r="823" spans="1:2">
      <c r="A823">
        <v>410.5</v>
      </c>
      <c r="B823">
        <v>1.36965474032961</v>
      </c>
    </row>
    <row r="824" spans="1:2">
      <c r="A824">
        <v>411</v>
      </c>
      <c r="B824">
        <v>1.4108361410190029</v>
      </c>
    </row>
    <row r="825" spans="1:2">
      <c r="A825">
        <v>411.5</v>
      </c>
      <c r="B825">
        <v>0.37848880420722908</v>
      </c>
    </row>
    <row r="826" spans="1:2">
      <c r="A826">
        <v>412</v>
      </c>
      <c r="B826">
        <v>0.49868474801229729</v>
      </c>
    </row>
    <row r="827" spans="1:2">
      <c r="A827">
        <v>412.5</v>
      </c>
      <c r="B827">
        <v>0.79067689542361363</v>
      </c>
    </row>
    <row r="828" spans="1:2">
      <c r="A828">
        <v>413</v>
      </c>
      <c r="B828">
        <v>-0.27187082314633371</v>
      </c>
    </row>
    <row r="829" spans="1:2">
      <c r="A829">
        <v>413.5</v>
      </c>
      <c r="B829">
        <v>-1.5556285217258039</v>
      </c>
    </row>
    <row r="830" spans="1:2">
      <c r="A830">
        <v>414</v>
      </c>
      <c r="B830">
        <v>-1.0350938797144069</v>
      </c>
    </row>
    <row r="831" spans="1:2">
      <c r="A831">
        <v>414.5</v>
      </c>
      <c r="B831">
        <v>-0.14414217406462271</v>
      </c>
    </row>
    <row r="832" spans="1:2">
      <c r="A832">
        <v>415</v>
      </c>
      <c r="B832">
        <v>-0.26889010220680593</v>
      </c>
    </row>
    <row r="833" spans="1:2">
      <c r="A833">
        <v>415.5</v>
      </c>
      <c r="B833">
        <v>-9.5945137004362802E-2</v>
      </c>
    </row>
    <row r="834" spans="1:2">
      <c r="A834">
        <v>416</v>
      </c>
      <c r="B834">
        <v>0.75022836294476514</v>
      </c>
    </row>
    <row r="835" spans="1:2">
      <c r="A835">
        <v>416.5</v>
      </c>
      <c r="B835">
        <v>1.297497003274342</v>
      </c>
    </row>
    <row r="836" spans="1:2">
      <c r="A836">
        <v>417</v>
      </c>
      <c r="B836">
        <v>0.58084827481520451</v>
      </c>
    </row>
    <row r="837" spans="1:2">
      <c r="A837">
        <v>417.5</v>
      </c>
      <c r="B837">
        <v>-0.45315705349271451</v>
      </c>
    </row>
    <row r="838" spans="1:2">
      <c r="A838">
        <v>418</v>
      </c>
      <c r="B838">
        <v>-0.27768515372963209</v>
      </c>
    </row>
    <row r="839" spans="1:2">
      <c r="A839">
        <v>418.5</v>
      </c>
      <c r="B839">
        <v>-0.65072732444290227</v>
      </c>
    </row>
    <row r="840" spans="1:2">
      <c r="A840">
        <v>419</v>
      </c>
      <c r="B840">
        <v>-0.75419203659981249</v>
      </c>
    </row>
    <row r="841" spans="1:2">
      <c r="A841">
        <v>419.5</v>
      </c>
      <c r="B841">
        <v>-1.130583021137548</v>
      </c>
    </row>
    <row r="842" spans="1:2">
      <c r="A842">
        <v>420</v>
      </c>
      <c r="B842">
        <v>-9.8927419304689328E-3</v>
      </c>
    </row>
    <row r="843" spans="1:2">
      <c r="A843">
        <v>420.5</v>
      </c>
      <c r="B843">
        <v>1.2227491507257799</v>
      </c>
    </row>
    <row r="844" spans="1:2">
      <c r="A844">
        <v>421</v>
      </c>
      <c r="B844">
        <v>0.72651211198273336</v>
      </c>
    </row>
    <row r="845" spans="1:2">
      <c r="A845">
        <v>421.5</v>
      </c>
      <c r="B845">
        <v>0.52753846553198436</v>
      </c>
    </row>
    <row r="846" spans="1:2">
      <c r="A846">
        <v>422</v>
      </c>
      <c r="B846">
        <v>0.62107569393506556</v>
      </c>
    </row>
    <row r="847" spans="1:2">
      <c r="A847">
        <v>422.5</v>
      </c>
      <c r="B847">
        <v>0.59849025280163259</v>
      </c>
    </row>
    <row r="848" spans="1:2">
      <c r="A848">
        <v>423</v>
      </c>
      <c r="B848">
        <v>-0.52995152351082386</v>
      </c>
    </row>
    <row r="849" spans="1:2">
      <c r="A849">
        <v>423.5</v>
      </c>
      <c r="B849">
        <v>-0.95999648831295836</v>
      </c>
    </row>
    <row r="850" spans="1:2">
      <c r="A850">
        <v>424</v>
      </c>
      <c r="B850">
        <v>-1.0786045131454169</v>
      </c>
    </row>
    <row r="851" spans="1:2">
      <c r="A851">
        <v>424.5</v>
      </c>
      <c r="B851">
        <v>-0.19398464329282761</v>
      </c>
    </row>
    <row r="852" spans="1:2">
      <c r="A852">
        <v>425</v>
      </c>
      <c r="B852">
        <v>-0.1246281052848926</v>
      </c>
    </row>
    <row r="853" spans="1:2">
      <c r="A853">
        <v>425.5</v>
      </c>
      <c r="B853">
        <v>-2.3310171539608949E-2</v>
      </c>
    </row>
    <row r="854" spans="1:2">
      <c r="A854">
        <v>426</v>
      </c>
      <c r="B854">
        <v>0.82357909083380787</v>
      </c>
    </row>
    <row r="855" spans="1:2">
      <c r="A855">
        <v>426.5</v>
      </c>
      <c r="B855">
        <v>1.688859822516656</v>
      </c>
    </row>
    <row r="856" spans="1:2">
      <c r="A856">
        <v>427</v>
      </c>
      <c r="B856">
        <v>0.87188610189041493</v>
      </c>
    </row>
    <row r="857" spans="1:2">
      <c r="A857">
        <v>427.5</v>
      </c>
      <c r="B857">
        <v>-0.6141492587498707</v>
      </c>
    </row>
    <row r="858" spans="1:2">
      <c r="A858">
        <v>428</v>
      </c>
      <c r="B858">
        <v>-0.75425636691331222</v>
      </c>
    </row>
    <row r="859" spans="1:2">
      <c r="A859">
        <v>428.5</v>
      </c>
      <c r="B859">
        <v>-0.35677340501784988</v>
      </c>
    </row>
    <row r="860" spans="1:2">
      <c r="A860">
        <v>429</v>
      </c>
      <c r="B860">
        <v>-1.061501125151362</v>
      </c>
    </row>
    <row r="861" spans="1:2">
      <c r="A861">
        <v>429.5</v>
      </c>
      <c r="B861">
        <v>-0.96119888874137915</v>
      </c>
    </row>
    <row r="862" spans="1:2">
      <c r="A862">
        <v>430</v>
      </c>
      <c r="B862">
        <v>4.0584604170180567E-2</v>
      </c>
    </row>
    <row r="863" spans="1:2">
      <c r="A863">
        <v>430.5</v>
      </c>
      <c r="B863">
        <v>0.78463642929297817</v>
      </c>
    </row>
    <row r="864" spans="1:2">
      <c r="A864">
        <v>431</v>
      </c>
      <c r="B864">
        <v>1.2605575565611671</v>
      </c>
    </row>
    <row r="865" spans="1:2">
      <c r="A865">
        <v>431.5</v>
      </c>
      <c r="B865">
        <v>0.81023205091425687</v>
      </c>
    </row>
    <row r="866" spans="1:2">
      <c r="A866">
        <v>432</v>
      </c>
      <c r="B866">
        <v>0.46522751419555808</v>
      </c>
    </row>
    <row r="867" spans="1:2">
      <c r="A867">
        <v>432.5</v>
      </c>
      <c r="B867">
        <v>0.42245968801284911</v>
      </c>
    </row>
    <row r="868" spans="1:2">
      <c r="A868">
        <v>433</v>
      </c>
      <c r="B868">
        <v>-0.53061217414743134</v>
      </c>
    </row>
    <row r="869" spans="1:2">
      <c r="A869">
        <v>433.5</v>
      </c>
      <c r="B869">
        <v>-1.3841651582977541</v>
      </c>
    </row>
    <row r="870" spans="1:2">
      <c r="A870">
        <v>434</v>
      </c>
      <c r="B870">
        <v>-0.81934766176065521</v>
      </c>
    </row>
    <row r="871" spans="1:2">
      <c r="A871">
        <v>434.5</v>
      </c>
      <c r="B871">
        <v>0.31425565546077089</v>
      </c>
    </row>
    <row r="872" spans="1:2">
      <c r="A872">
        <v>435</v>
      </c>
      <c r="B872">
        <v>-3.5389445498852513E-2</v>
      </c>
    </row>
    <row r="873" spans="1:2">
      <c r="A873">
        <v>435.5</v>
      </c>
      <c r="B873">
        <v>-7.1874196615191704E-2</v>
      </c>
    </row>
    <row r="874" spans="1:2">
      <c r="A874">
        <v>436</v>
      </c>
      <c r="B874">
        <v>0.67519267069217392</v>
      </c>
    </row>
    <row r="875" spans="1:2">
      <c r="A875">
        <v>436.5</v>
      </c>
      <c r="B875">
        <v>1.3048705083067751</v>
      </c>
    </row>
    <row r="876" spans="1:2">
      <c r="A876">
        <v>437</v>
      </c>
      <c r="B876">
        <v>0.58115985771777323</v>
      </c>
    </row>
    <row r="877" spans="1:2">
      <c r="A877">
        <v>437.5</v>
      </c>
      <c r="B877">
        <v>-0.1410884272963748</v>
      </c>
    </row>
    <row r="878" spans="1:2">
      <c r="A878">
        <v>438</v>
      </c>
      <c r="B878">
        <v>-0.6913075120996981</v>
      </c>
    </row>
    <row r="879" spans="1:2">
      <c r="A879">
        <v>438.5</v>
      </c>
      <c r="B879">
        <v>-0.40629892596737283</v>
      </c>
    </row>
    <row r="880" spans="1:2">
      <c r="A880">
        <v>439</v>
      </c>
      <c r="B880">
        <v>-0.95434109550967705</v>
      </c>
    </row>
    <row r="881" spans="1:2">
      <c r="A881">
        <v>439.5</v>
      </c>
      <c r="B881">
        <v>-0.85010659760289964</v>
      </c>
    </row>
    <row r="882" spans="1:2">
      <c r="A882">
        <v>440</v>
      </c>
      <c r="B882">
        <v>0.50538648517466167</v>
      </c>
    </row>
    <row r="883" spans="1:2">
      <c r="A883">
        <v>440.5</v>
      </c>
      <c r="B883">
        <v>0.98161149770841738</v>
      </c>
    </row>
    <row r="884" spans="1:2">
      <c r="A884">
        <v>441</v>
      </c>
      <c r="B884">
        <v>0.85316862779155112</v>
      </c>
    </row>
    <row r="885" spans="1:2">
      <c r="A885">
        <v>441.5</v>
      </c>
      <c r="B885">
        <v>0.65988869170898024</v>
      </c>
    </row>
    <row r="886" spans="1:2">
      <c r="A886">
        <v>442</v>
      </c>
      <c r="B886">
        <v>0.72416355021779233</v>
      </c>
    </row>
    <row r="887" spans="1:2">
      <c r="A887">
        <v>442.5</v>
      </c>
      <c r="B887">
        <v>0.86934146514718214</v>
      </c>
    </row>
    <row r="888" spans="1:2">
      <c r="A888">
        <v>443</v>
      </c>
      <c r="B888">
        <v>-0.47099961522722272</v>
      </c>
    </row>
    <row r="889" spans="1:2">
      <c r="A889">
        <v>443.5</v>
      </c>
      <c r="B889">
        <v>-1.5229149344525581</v>
      </c>
    </row>
    <row r="890" spans="1:2">
      <c r="A890">
        <v>444</v>
      </c>
      <c r="B890">
        <v>-0.8329255501567131</v>
      </c>
    </row>
    <row r="891" spans="1:2">
      <c r="A891">
        <v>444.5</v>
      </c>
      <c r="B891">
        <v>0.1339554638240476</v>
      </c>
    </row>
    <row r="892" spans="1:2">
      <c r="A892">
        <v>445</v>
      </c>
      <c r="B892">
        <v>0.16409643623955461</v>
      </c>
    </row>
    <row r="893" spans="1:2">
      <c r="A893">
        <v>445.5</v>
      </c>
      <c r="B893">
        <v>0.18924005851392381</v>
      </c>
    </row>
    <row r="894" spans="1:2">
      <c r="A894">
        <v>446</v>
      </c>
      <c r="B894">
        <v>1.164391454212957</v>
      </c>
    </row>
    <row r="895" spans="1:2">
      <c r="A895">
        <v>446.5</v>
      </c>
      <c r="B895">
        <v>1.684915634384307</v>
      </c>
    </row>
    <row r="896" spans="1:2">
      <c r="A896">
        <v>447</v>
      </c>
      <c r="B896">
        <v>0.86421705050003506</v>
      </c>
    </row>
    <row r="897" spans="1:2">
      <c r="A897">
        <v>447.5</v>
      </c>
      <c r="B897">
        <v>-0.37025802248207429</v>
      </c>
    </row>
    <row r="898" spans="1:2">
      <c r="A898">
        <v>448</v>
      </c>
      <c r="B898">
        <v>-0.62120886835585365</v>
      </c>
    </row>
    <row r="899" spans="1:2">
      <c r="A899">
        <v>448.5</v>
      </c>
      <c r="B899">
        <v>-0.42171377900847451</v>
      </c>
    </row>
    <row r="900" spans="1:2">
      <c r="A900">
        <v>449</v>
      </c>
      <c r="B900">
        <v>-0.70975472299352838</v>
      </c>
    </row>
    <row r="901" spans="1:2">
      <c r="A901">
        <v>449.5</v>
      </c>
      <c r="B901">
        <v>-1.2511723864899069</v>
      </c>
    </row>
    <row r="902" spans="1:2">
      <c r="A902">
        <v>450</v>
      </c>
      <c r="B902">
        <v>7.3734661774534194E-2</v>
      </c>
    </row>
    <row r="903" spans="1:2">
      <c r="A903">
        <v>450.5</v>
      </c>
      <c r="B903">
        <v>1.0091174898269739</v>
      </c>
    </row>
    <row r="904" spans="1:2">
      <c r="A904">
        <v>451</v>
      </c>
      <c r="B904">
        <v>0.95680548088208606</v>
      </c>
    </row>
    <row r="905" spans="1:2">
      <c r="A905">
        <v>451.5</v>
      </c>
      <c r="B905">
        <v>0.70674688881660375</v>
      </c>
    </row>
    <row r="906" spans="1:2">
      <c r="A906">
        <v>452</v>
      </c>
      <c r="B906">
        <v>0.6260050658963997</v>
      </c>
    </row>
    <row r="907" spans="1:2">
      <c r="A907">
        <v>452.5</v>
      </c>
      <c r="B907">
        <v>0.50928730963124835</v>
      </c>
    </row>
    <row r="908" spans="1:2">
      <c r="A908">
        <v>453</v>
      </c>
      <c r="B908">
        <v>-0.85975648048842424</v>
      </c>
    </row>
    <row r="909" spans="1:2">
      <c r="A909">
        <v>453.5</v>
      </c>
      <c r="B909">
        <v>-1.301805803089688</v>
      </c>
    </row>
    <row r="910" spans="1:2">
      <c r="A910">
        <v>454</v>
      </c>
      <c r="B910">
        <v>-0.82195968006699194</v>
      </c>
    </row>
    <row r="911" spans="1:2">
      <c r="A911">
        <v>454.5</v>
      </c>
      <c r="B911">
        <v>0.34486569236861508</v>
      </c>
    </row>
    <row r="912" spans="1:2">
      <c r="A912">
        <v>455</v>
      </c>
      <c r="B912">
        <v>-6.1555646990621243E-2</v>
      </c>
    </row>
    <row r="913" spans="1:2">
      <c r="A913">
        <v>455.5</v>
      </c>
      <c r="B913">
        <v>0.13161531782521699</v>
      </c>
    </row>
    <row r="914" spans="1:2">
      <c r="A914">
        <v>456</v>
      </c>
      <c r="B914">
        <v>1.000933253037245</v>
      </c>
    </row>
    <row r="915" spans="1:2">
      <c r="A915">
        <v>456.5</v>
      </c>
      <c r="B915">
        <v>1.766547172247845</v>
      </c>
    </row>
    <row r="916" spans="1:2">
      <c r="A916">
        <v>457</v>
      </c>
      <c r="B916">
        <v>0.56872614581511416</v>
      </c>
    </row>
    <row r="917" spans="1:2">
      <c r="A917">
        <v>457.5</v>
      </c>
      <c r="B917">
        <v>-0.44419569484589189</v>
      </c>
    </row>
    <row r="918" spans="1:2">
      <c r="A918">
        <v>458</v>
      </c>
      <c r="B918">
        <v>-0.46620595034919399</v>
      </c>
    </row>
    <row r="919" spans="1:2">
      <c r="A919">
        <v>458.5</v>
      </c>
      <c r="B919">
        <v>-0.41373469166388932</v>
      </c>
    </row>
    <row r="920" spans="1:2">
      <c r="A920">
        <v>459</v>
      </c>
      <c r="B920">
        <v>-1.0403432392052301</v>
      </c>
    </row>
    <row r="921" spans="1:2">
      <c r="A921">
        <v>459.5</v>
      </c>
      <c r="B921">
        <v>-1.0489672537128329</v>
      </c>
    </row>
    <row r="922" spans="1:2">
      <c r="A922">
        <v>460</v>
      </c>
      <c r="B922">
        <v>0.214726349971925</v>
      </c>
    </row>
    <row r="923" spans="1:2">
      <c r="A923">
        <v>460.5</v>
      </c>
      <c r="B923">
        <v>0.88248219241019954</v>
      </c>
    </row>
    <row r="924" spans="1:2">
      <c r="A924">
        <v>461</v>
      </c>
      <c r="B924">
        <v>0.97765045112457338</v>
      </c>
    </row>
    <row r="925" spans="1:2">
      <c r="A925">
        <v>461.5</v>
      </c>
      <c r="B925">
        <v>0.31103235330732271</v>
      </c>
    </row>
    <row r="926" spans="1:2">
      <c r="A926">
        <v>462</v>
      </c>
      <c r="B926">
        <v>0.82679457807748213</v>
      </c>
    </row>
    <row r="927" spans="1:2">
      <c r="A927">
        <v>462.5</v>
      </c>
      <c r="B927">
        <v>0.19536261904330679</v>
      </c>
    </row>
    <row r="928" spans="1:2">
      <c r="A928">
        <v>463</v>
      </c>
      <c r="B928">
        <v>-0.69956962174676129</v>
      </c>
    </row>
    <row r="929" spans="1:2">
      <c r="A929">
        <v>463.5</v>
      </c>
      <c r="B929">
        <v>-1.37561414128225</v>
      </c>
    </row>
    <row r="930" spans="1:2">
      <c r="A930">
        <v>464</v>
      </c>
      <c r="B930">
        <v>-0.63795171044829257</v>
      </c>
    </row>
    <row r="931" spans="1:2">
      <c r="A931">
        <v>464.5</v>
      </c>
      <c r="B931">
        <v>-0.1009353045071093</v>
      </c>
    </row>
    <row r="932" spans="1:2">
      <c r="A932">
        <v>465</v>
      </c>
      <c r="B932">
        <v>-0.11103990533865001</v>
      </c>
    </row>
    <row r="933" spans="1:2">
      <c r="A933">
        <v>465.5</v>
      </c>
      <c r="B933">
        <v>0.46401666618060439</v>
      </c>
    </row>
    <row r="934" spans="1:2">
      <c r="A934">
        <v>466</v>
      </c>
      <c r="B934">
        <v>0.6614537362118913</v>
      </c>
    </row>
    <row r="935" spans="1:2">
      <c r="A935">
        <v>466.5</v>
      </c>
      <c r="B935">
        <v>1.0112953249711469</v>
      </c>
    </row>
    <row r="936" spans="1:2">
      <c r="A936">
        <v>467</v>
      </c>
      <c r="B936">
        <v>0.67578814230326001</v>
      </c>
    </row>
    <row r="937" spans="1:2">
      <c r="A937">
        <v>467.5</v>
      </c>
      <c r="B937">
        <v>-0.60041084487055252</v>
      </c>
    </row>
    <row r="938" spans="1:2">
      <c r="A938">
        <v>468</v>
      </c>
      <c r="B938">
        <v>-0.79203181571864179</v>
      </c>
    </row>
    <row r="939" spans="1:2">
      <c r="A939">
        <v>468.5</v>
      </c>
      <c r="B939">
        <v>-0.30938522683527692</v>
      </c>
    </row>
    <row r="940" spans="1:2">
      <c r="A940">
        <v>469</v>
      </c>
      <c r="B940">
        <v>-0.90229637354084369</v>
      </c>
    </row>
    <row r="941" spans="1:2">
      <c r="A941">
        <v>469.5</v>
      </c>
      <c r="B941">
        <v>-1.200600978439875</v>
      </c>
    </row>
    <row r="942" spans="1:2">
      <c r="A942">
        <v>470</v>
      </c>
      <c r="B942">
        <v>-0.25606087973419162</v>
      </c>
    </row>
    <row r="943" spans="1:2">
      <c r="A943">
        <v>470.5</v>
      </c>
      <c r="B943">
        <v>1.2622767179484979</v>
      </c>
    </row>
    <row r="944" spans="1:2">
      <c r="A944">
        <v>471</v>
      </c>
      <c r="B944">
        <v>1.0810967518868571</v>
      </c>
    </row>
    <row r="945" spans="1:2">
      <c r="A945">
        <v>471.5</v>
      </c>
      <c r="B945">
        <v>0.43122134353929409</v>
      </c>
    </row>
    <row r="946" spans="1:2">
      <c r="A946">
        <v>472</v>
      </c>
      <c r="B946">
        <v>0.95711265150202796</v>
      </c>
    </row>
    <row r="947" spans="1:2">
      <c r="A947">
        <v>472.5</v>
      </c>
      <c r="B947">
        <v>0.28598304673476049</v>
      </c>
    </row>
    <row r="948" spans="1:2">
      <c r="A948">
        <v>473</v>
      </c>
      <c r="B948">
        <v>-0.8928902864774162</v>
      </c>
    </row>
    <row r="949" spans="1:2">
      <c r="A949">
        <v>473.5</v>
      </c>
      <c r="B949">
        <v>-1.58943813027139</v>
      </c>
    </row>
    <row r="950" spans="1:2">
      <c r="A950">
        <v>474</v>
      </c>
      <c r="B950">
        <v>-0.96017371956632735</v>
      </c>
    </row>
    <row r="951" spans="1:2">
      <c r="A951">
        <v>474.5</v>
      </c>
      <c r="B951">
        <v>-3.9117362427916282E-2</v>
      </c>
    </row>
    <row r="952" spans="1:2">
      <c r="A952">
        <v>475</v>
      </c>
      <c r="B952">
        <v>-4.8247211571265491E-2</v>
      </c>
    </row>
    <row r="953" spans="1:2">
      <c r="A953">
        <v>475.5</v>
      </c>
      <c r="B953">
        <v>0.1581963315953108</v>
      </c>
    </row>
    <row r="954" spans="1:2">
      <c r="A954">
        <v>476</v>
      </c>
      <c r="B954">
        <v>0.70074863145698396</v>
      </c>
    </row>
    <row r="955" spans="1:2">
      <c r="A955">
        <v>476.5</v>
      </c>
      <c r="B955">
        <v>1.7398094371098289</v>
      </c>
    </row>
    <row r="956" spans="1:2">
      <c r="A956">
        <v>477</v>
      </c>
      <c r="B956">
        <v>0.57135501661396271</v>
      </c>
    </row>
    <row r="957" spans="1:2">
      <c r="A957">
        <v>477.5</v>
      </c>
      <c r="B957">
        <v>-0.27654083368236171</v>
      </c>
    </row>
    <row r="958" spans="1:2">
      <c r="A958">
        <v>478</v>
      </c>
      <c r="B958">
        <v>-0.51924018301697739</v>
      </c>
    </row>
    <row r="959" spans="1:2">
      <c r="A959">
        <v>478.5</v>
      </c>
      <c r="B959">
        <v>-0.35970587246437752</v>
      </c>
    </row>
    <row r="960" spans="1:2">
      <c r="A960">
        <v>479</v>
      </c>
      <c r="B960">
        <v>-0.83710306024868064</v>
      </c>
    </row>
    <row r="961" spans="1:2">
      <c r="A961">
        <v>479.5</v>
      </c>
      <c r="B961">
        <v>-0.99824354028900908</v>
      </c>
    </row>
    <row r="962" spans="1:2">
      <c r="A962">
        <v>480</v>
      </c>
      <c r="B962">
        <v>0.12854455197339901</v>
      </c>
    </row>
    <row r="963" spans="1:2">
      <c r="A963">
        <v>480.5</v>
      </c>
      <c r="B963">
        <v>1.3536157583189199</v>
      </c>
    </row>
    <row r="964" spans="1:2">
      <c r="A964">
        <v>481</v>
      </c>
      <c r="B964">
        <v>0.99036075023545966</v>
      </c>
    </row>
    <row r="965" spans="1:2">
      <c r="A965">
        <v>481.5</v>
      </c>
      <c r="B965">
        <v>0.59285726781285131</v>
      </c>
    </row>
    <row r="966" spans="1:2">
      <c r="A966">
        <v>482</v>
      </c>
      <c r="B966">
        <v>0.56983811343505197</v>
      </c>
    </row>
    <row r="967" spans="1:2">
      <c r="A967">
        <v>482.5</v>
      </c>
      <c r="B967">
        <v>0.78802344308992878</v>
      </c>
    </row>
    <row r="968" spans="1:2">
      <c r="A968">
        <v>483</v>
      </c>
      <c r="B968">
        <v>-0.72306371270423375</v>
      </c>
    </row>
    <row r="969" spans="1:2">
      <c r="A969">
        <v>483.5</v>
      </c>
      <c r="B969">
        <v>-1.090868429713</v>
      </c>
    </row>
    <row r="970" spans="1:2">
      <c r="A970">
        <v>484</v>
      </c>
      <c r="B970">
        <v>-0.95908810642401487</v>
      </c>
    </row>
    <row r="971" spans="1:2">
      <c r="A971">
        <v>484.5</v>
      </c>
      <c r="B971">
        <v>-0.37394027271609909</v>
      </c>
    </row>
    <row r="972" spans="1:2">
      <c r="A972">
        <v>485</v>
      </c>
      <c r="B972">
        <v>2.5620882982169121E-2</v>
      </c>
    </row>
    <row r="973" spans="1:2">
      <c r="A973">
        <v>485.5</v>
      </c>
      <c r="B973">
        <v>-4.8425079202559652E-2</v>
      </c>
    </row>
    <row r="974" spans="1:2">
      <c r="A974">
        <v>486</v>
      </c>
      <c r="B974">
        <v>1.1191852260928989</v>
      </c>
    </row>
    <row r="975" spans="1:2">
      <c r="A975">
        <v>486.5</v>
      </c>
      <c r="B975">
        <v>1.3205317204346769</v>
      </c>
    </row>
    <row r="976" spans="1:2">
      <c r="A976">
        <v>487</v>
      </c>
      <c r="B976">
        <v>0.49854856564960948</v>
      </c>
    </row>
    <row r="977" spans="1:2">
      <c r="A977">
        <v>487.5</v>
      </c>
      <c r="B977">
        <v>-0.87790814618905033</v>
      </c>
    </row>
    <row r="978" spans="1:2">
      <c r="A978">
        <v>488</v>
      </c>
      <c r="B978">
        <v>-0.67824651614233078</v>
      </c>
    </row>
    <row r="979" spans="1:2">
      <c r="A979">
        <v>488.5</v>
      </c>
      <c r="B979">
        <v>-0.93583238162094751</v>
      </c>
    </row>
    <row r="980" spans="1:2">
      <c r="A980">
        <v>489</v>
      </c>
      <c r="B980">
        <v>-1.267837080992225</v>
      </c>
    </row>
    <row r="981" spans="1:2">
      <c r="A981">
        <v>489.5</v>
      </c>
      <c r="B981">
        <v>-0.93570232106364737</v>
      </c>
    </row>
    <row r="982" spans="1:2">
      <c r="A982">
        <v>490</v>
      </c>
      <c r="B982">
        <v>0.1571600317300734</v>
      </c>
    </row>
    <row r="983" spans="1:2">
      <c r="A983">
        <v>490.5</v>
      </c>
      <c r="B983">
        <v>1.172876764649484</v>
      </c>
    </row>
    <row r="984" spans="1:2">
      <c r="A984">
        <v>491</v>
      </c>
      <c r="B984">
        <v>0.7576612876692852</v>
      </c>
    </row>
    <row r="985" spans="1:2">
      <c r="A985">
        <v>491.5</v>
      </c>
      <c r="B985">
        <v>0.44151424506676618</v>
      </c>
    </row>
    <row r="986" spans="1:2">
      <c r="A986">
        <v>492</v>
      </c>
      <c r="B986">
        <v>0.58706474447436474</v>
      </c>
    </row>
    <row r="987" spans="1:2">
      <c r="A987">
        <v>492.5</v>
      </c>
      <c r="B987">
        <v>0.26832706216156882</v>
      </c>
    </row>
    <row r="988" spans="1:2">
      <c r="A988">
        <v>493</v>
      </c>
      <c r="B988">
        <v>-0.28710559193906637</v>
      </c>
    </row>
    <row r="989" spans="1:2">
      <c r="A989">
        <v>493.5</v>
      </c>
      <c r="B989">
        <v>-1.2755840581800151</v>
      </c>
    </row>
    <row r="990" spans="1:2">
      <c r="A990">
        <v>494</v>
      </c>
      <c r="B990">
        <v>-0.9952493510611462</v>
      </c>
    </row>
    <row r="991" spans="1:2">
      <c r="A991">
        <v>494.5</v>
      </c>
      <c r="B991">
        <v>-8.2408084493618278E-2</v>
      </c>
    </row>
    <row r="992" spans="1:2">
      <c r="A992">
        <v>495</v>
      </c>
      <c r="B992">
        <v>4.1676561589532549E-2</v>
      </c>
    </row>
    <row r="993" spans="1:2">
      <c r="A993">
        <v>495.5</v>
      </c>
      <c r="B993">
        <v>-0.32056172139238448</v>
      </c>
    </row>
    <row r="994" spans="1:2">
      <c r="A994">
        <v>496</v>
      </c>
      <c r="B994">
        <v>0.90162103979096786</v>
      </c>
    </row>
    <row r="995" spans="1:2">
      <c r="A995">
        <v>496.5</v>
      </c>
      <c r="B995">
        <v>1.314659666695609</v>
      </c>
    </row>
    <row r="996" spans="1:2">
      <c r="A996">
        <v>497</v>
      </c>
      <c r="B996">
        <v>0.38746125031355733</v>
      </c>
    </row>
    <row r="997" spans="1:2">
      <c r="A997">
        <v>497.5</v>
      </c>
      <c r="B997">
        <v>-0.55622005857720569</v>
      </c>
    </row>
    <row r="998" spans="1:2">
      <c r="A998">
        <v>498</v>
      </c>
      <c r="B998">
        <v>-0.22824794692263001</v>
      </c>
    </row>
    <row r="999" spans="1:2">
      <c r="A999">
        <v>498.5</v>
      </c>
      <c r="B999">
        <v>-0.32288794404174082</v>
      </c>
    </row>
    <row r="1000" spans="1:2">
      <c r="A1000">
        <v>499</v>
      </c>
      <c r="B1000">
        <v>-1.065292314251713</v>
      </c>
    </row>
    <row r="1001" spans="1:2">
      <c r="A1001">
        <v>499.5</v>
      </c>
      <c r="B1001">
        <v>-0.97326869602121813</v>
      </c>
    </row>
    <row r="1002" spans="1:2">
      <c r="A1002">
        <v>500</v>
      </c>
      <c r="B1002">
        <v>0.27987108731712401</v>
      </c>
    </row>
    <row r="1003" spans="1:2">
      <c r="A1003">
        <v>500.5</v>
      </c>
      <c r="B1003">
        <v>1.27271198887501</v>
      </c>
    </row>
    <row r="1004" spans="1:2">
      <c r="A1004">
        <v>501</v>
      </c>
      <c r="B1004">
        <v>0.96298259027920308</v>
      </c>
    </row>
    <row r="1005" spans="1:2">
      <c r="A1005">
        <v>501.5</v>
      </c>
      <c r="B1005">
        <v>0.32166916075406071</v>
      </c>
    </row>
    <row r="1006" spans="1:2">
      <c r="A1006">
        <v>502</v>
      </c>
      <c r="B1006">
        <v>0.72742991501519905</v>
      </c>
    </row>
    <row r="1007" spans="1:2">
      <c r="A1007">
        <v>502.5</v>
      </c>
      <c r="B1007">
        <v>0.57869707708435669</v>
      </c>
    </row>
    <row r="1008" spans="1:2">
      <c r="A1008">
        <v>503</v>
      </c>
      <c r="B1008">
        <v>-0.40874660828686138</v>
      </c>
    </row>
    <row r="1009" spans="1:2">
      <c r="A1009">
        <v>503.5</v>
      </c>
      <c r="B1009">
        <v>-1.324022155958742</v>
      </c>
    </row>
    <row r="1010" spans="1:2">
      <c r="A1010">
        <v>504</v>
      </c>
      <c r="B1010">
        <v>-0.74114597323129994</v>
      </c>
    </row>
    <row r="1011" spans="1:2">
      <c r="A1011">
        <v>504.5</v>
      </c>
      <c r="B1011">
        <v>-0.1948322946045809</v>
      </c>
    </row>
    <row r="1012" spans="1:2">
      <c r="A1012">
        <v>505</v>
      </c>
      <c r="B1012">
        <v>0.26347881312689803</v>
      </c>
    </row>
    <row r="1013" spans="1:2">
      <c r="A1013">
        <v>505.5</v>
      </c>
      <c r="B1013">
        <v>0.12730517323091869</v>
      </c>
    </row>
    <row r="1014" spans="1:2">
      <c r="A1014">
        <v>506</v>
      </c>
      <c r="B1014">
        <v>1.3661086908201869</v>
      </c>
    </row>
    <row r="1015" spans="1:2">
      <c r="A1015">
        <v>506.5</v>
      </c>
      <c r="B1015">
        <v>1.3132189526772331</v>
      </c>
    </row>
    <row r="1016" spans="1:2">
      <c r="A1016">
        <v>507</v>
      </c>
      <c r="B1016">
        <v>0.93497801292558713</v>
      </c>
    </row>
    <row r="1017" spans="1:2">
      <c r="A1017">
        <v>507.5</v>
      </c>
      <c r="B1017">
        <v>-0.46041784330744201</v>
      </c>
    </row>
    <row r="1018" spans="1:2">
      <c r="A1018">
        <v>508</v>
      </c>
      <c r="B1018">
        <v>-0.71806885301532941</v>
      </c>
    </row>
    <row r="1019" spans="1:2">
      <c r="A1019">
        <v>508.5</v>
      </c>
      <c r="B1019">
        <v>-0.5478336831059939</v>
      </c>
    </row>
    <row r="1020" spans="1:2">
      <c r="A1020">
        <v>509</v>
      </c>
      <c r="B1020">
        <v>-1.0151259779339421</v>
      </c>
    </row>
    <row r="1021" spans="1:2">
      <c r="A1021">
        <v>509.5</v>
      </c>
      <c r="B1021">
        <v>-1.0029520630121009</v>
      </c>
    </row>
    <row r="1022" spans="1:2">
      <c r="A1022">
        <v>510</v>
      </c>
      <c r="B1022">
        <v>0.10456709760704019</v>
      </c>
    </row>
    <row r="1023" spans="1:2">
      <c r="A1023">
        <v>510.5</v>
      </c>
      <c r="B1023">
        <v>0.97304525150470533</v>
      </c>
    </row>
    <row r="1024" spans="1:2">
      <c r="A1024">
        <v>511</v>
      </c>
      <c r="B1024">
        <v>0.94618559784304745</v>
      </c>
    </row>
    <row r="1025" spans="1:2">
      <c r="A1025">
        <v>511.5</v>
      </c>
      <c r="B1025">
        <v>0.87951058801752646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Meng-Yu Lin</cp:lastModifiedBy>
  <dcterms:created xsi:type="dcterms:W3CDTF">2024-12-13T10:33:11Z</dcterms:created>
  <dcterms:modified xsi:type="dcterms:W3CDTF">2024-12-13T12:48:35Z</dcterms:modified>
</cp:coreProperties>
</file>